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Grants\"/>
    </mc:Choice>
  </mc:AlternateContent>
  <xr:revisionPtr revIDLastSave="0" documentId="13_ncr:1_{554624C9-3807-4F5C-A35B-9EC30A060A8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yments to the VCSE 2020-21" sheetId="1" r:id="rId1"/>
  </sheets>
  <definedNames>
    <definedName name="_xlnm._FilterDatabase" localSheetId="0" hidden="1">'Payments to the VCSE 2020-21'!$A$1:$J$2944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 s="1"/>
  <c r="I2" i="1"/>
  <c r="J2" i="1"/>
  <c r="A3" i="1"/>
  <c r="B3" i="1"/>
  <c r="C3" i="1"/>
  <c r="D3" i="1"/>
  <c r="E3" i="1" s="1"/>
  <c r="I3" i="1"/>
  <c r="J3" i="1"/>
  <c r="A4" i="1"/>
  <c r="B4" i="1"/>
  <c r="C4" i="1"/>
  <c r="D4" i="1"/>
  <c r="E4" i="1" s="1"/>
  <c r="I4" i="1"/>
  <c r="J4" i="1"/>
  <c r="A5" i="1"/>
  <c r="B5" i="1"/>
  <c r="C5" i="1"/>
  <c r="D5" i="1"/>
  <c r="E5" i="1" s="1"/>
  <c r="I5" i="1"/>
  <c r="J5" i="1"/>
  <c r="A6" i="1"/>
  <c r="B6" i="1"/>
  <c r="C6" i="1"/>
  <c r="D6" i="1"/>
  <c r="I6" i="1"/>
  <c r="J6" i="1"/>
  <c r="A7" i="1"/>
  <c r="B7" i="1"/>
  <c r="C7" i="1"/>
  <c r="D7" i="1"/>
  <c r="E7" i="1"/>
  <c r="I7" i="1"/>
  <c r="J7" i="1"/>
  <c r="A8" i="1"/>
  <c r="B8" i="1"/>
  <c r="C8" i="1"/>
  <c r="D8" i="1"/>
  <c r="I8" i="1"/>
  <c r="J8" i="1"/>
  <c r="A9" i="1"/>
  <c r="B9" i="1"/>
  <c r="C9" i="1"/>
  <c r="D9" i="1"/>
  <c r="E9" i="1" s="1"/>
  <c r="I9" i="1"/>
  <c r="J9" i="1"/>
  <c r="A10" i="1"/>
  <c r="B10" i="1"/>
  <c r="C10" i="1"/>
  <c r="D10" i="1"/>
  <c r="I10" i="1"/>
  <c r="J10" i="1"/>
  <c r="A11" i="1"/>
  <c r="B11" i="1"/>
  <c r="C11" i="1"/>
  <c r="D11" i="1"/>
  <c r="E11" i="1"/>
  <c r="I11" i="1"/>
  <c r="J11" i="1"/>
  <c r="A12" i="1"/>
  <c r="B12" i="1"/>
  <c r="C12" i="1"/>
  <c r="D12" i="1"/>
  <c r="I12" i="1"/>
  <c r="J12" i="1"/>
  <c r="A13" i="1"/>
  <c r="B13" i="1"/>
  <c r="C13" i="1"/>
  <c r="D13" i="1"/>
  <c r="E13" i="1" s="1"/>
  <c r="I13" i="1"/>
  <c r="J13" i="1"/>
  <c r="A14" i="1"/>
  <c r="B14" i="1"/>
  <c r="C14" i="1"/>
  <c r="D14" i="1"/>
  <c r="I14" i="1"/>
  <c r="J14" i="1"/>
  <c r="A15" i="1"/>
  <c r="B15" i="1"/>
  <c r="C15" i="1"/>
  <c r="D15" i="1"/>
  <c r="E15" i="1"/>
  <c r="I15" i="1"/>
  <c r="J15" i="1"/>
  <c r="A16" i="1"/>
  <c r="B16" i="1"/>
  <c r="C16" i="1"/>
  <c r="D16" i="1"/>
  <c r="I16" i="1"/>
  <c r="J16" i="1"/>
  <c r="A17" i="1"/>
  <c r="B17" i="1"/>
  <c r="C17" i="1"/>
  <c r="D17" i="1"/>
  <c r="E17" i="1" s="1"/>
  <c r="I17" i="1"/>
  <c r="J17" i="1"/>
  <c r="A18" i="1"/>
  <c r="B18" i="1"/>
  <c r="C18" i="1"/>
  <c r="D18" i="1"/>
  <c r="I18" i="1"/>
  <c r="J18" i="1"/>
  <c r="A19" i="1"/>
  <c r="B19" i="1"/>
  <c r="C19" i="1"/>
  <c r="D19" i="1"/>
  <c r="E19" i="1" s="1"/>
  <c r="I19" i="1"/>
  <c r="J19" i="1"/>
  <c r="A20" i="1"/>
  <c r="B20" i="1"/>
  <c r="C20" i="1"/>
  <c r="D20" i="1"/>
  <c r="I20" i="1"/>
  <c r="J20" i="1"/>
  <c r="A21" i="1"/>
  <c r="B21" i="1"/>
  <c r="C21" i="1"/>
  <c r="E21" i="1"/>
  <c r="I21" i="1"/>
  <c r="J21" i="1"/>
  <c r="A22" i="1"/>
  <c r="B22" i="1"/>
  <c r="C22" i="1"/>
  <c r="E22" i="1"/>
  <c r="I22" i="1"/>
  <c r="J22" i="1"/>
  <c r="A23" i="1"/>
  <c r="B23" i="1"/>
  <c r="C23" i="1"/>
  <c r="E23" i="1"/>
  <c r="I23" i="1"/>
  <c r="J23" i="1"/>
  <c r="A24" i="1"/>
  <c r="B24" i="1"/>
  <c r="C24" i="1"/>
  <c r="E24" i="1"/>
  <c r="I24" i="1"/>
  <c r="J24" i="1"/>
  <c r="A25" i="1"/>
  <c r="B25" i="1"/>
  <c r="C25" i="1"/>
  <c r="E25" i="1"/>
  <c r="I25" i="1"/>
  <c r="J25" i="1"/>
  <c r="A26" i="1"/>
  <c r="B26" i="1"/>
  <c r="C26" i="1"/>
  <c r="D26" i="1"/>
  <c r="E26" i="1" s="1"/>
  <c r="I26" i="1"/>
  <c r="J26" i="1"/>
  <c r="A27" i="1"/>
  <c r="B27" i="1"/>
  <c r="C27" i="1"/>
  <c r="D27" i="1"/>
  <c r="E27" i="1"/>
  <c r="I27" i="1"/>
  <c r="J27" i="1"/>
  <c r="A28" i="1"/>
  <c r="B28" i="1"/>
  <c r="C28" i="1"/>
  <c r="D28" i="1"/>
  <c r="E28" i="1" s="1"/>
  <c r="I28" i="1"/>
  <c r="J28" i="1"/>
  <c r="A29" i="1"/>
  <c r="B29" i="1"/>
  <c r="C29" i="1"/>
  <c r="D29" i="1"/>
  <c r="E29" i="1"/>
  <c r="I29" i="1"/>
  <c r="J29" i="1"/>
  <c r="A30" i="1"/>
  <c r="B30" i="1"/>
  <c r="C30" i="1"/>
  <c r="D30" i="1"/>
  <c r="E30" i="1" s="1"/>
  <c r="I30" i="1"/>
  <c r="J30" i="1"/>
  <c r="A31" i="1"/>
  <c r="B31" i="1"/>
  <c r="C31" i="1"/>
  <c r="D31" i="1"/>
  <c r="E31" i="1" s="1"/>
  <c r="I31" i="1"/>
  <c r="J31" i="1"/>
  <c r="A32" i="1"/>
  <c r="B32" i="1"/>
  <c r="C32" i="1"/>
  <c r="E32" i="1"/>
  <c r="I32" i="1"/>
  <c r="J32" i="1"/>
  <c r="A33" i="1"/>
  <c r="B33" i="1"/>
  <c r="C33" i="1"/>
  <c r="D33" i="1"/>
  <c r="E33" i="1" s="1"/>
  <c r="I33" i="1"/>
  <c r="J33" i="1"/>
  <c r="A34" i="1"/>
  <c r="B34" i="1"/>
  <c r="C34" i="1"/>
  <c r="D34" i="1"/>
  <c r="I34" i="1"/>
  <c r="J34" i="1"/>
  <c r="A35" i="1"/>
  <c r="B35" i="1"/>
  <c r="C35" i="1"/>
  <c r="D35" i="1"/>
  <c r="E35" i="1"/>
  <c r="I35" i="1"/>
  <c r="J35" i="1"/>
  <c r="A36" i="1"/>
  <c r="B36" i="1"/>
  <c r="C36" i="1"/>
  <c r="D36" i="1"/>
  <c r="I36" i="1"/>
  <c r="J36" i="1"/>
  <c r="A37" i="1"/>
  <c r="B37" i="1"/>
  <c r="C37" i="1"/>
  <c r="D37" i="1"/>
  <c r="E37" i="1" s="1"/>
  <c r="I37" i="1"/>
  <c r="J37" i="1"/>
  <c r="A38" i="1"/>
  <c r="B38" i="1"/>
  <c r="C38" i="1"/>
  <c r="D38" i="1"/>
  <c r="I38" i="1"/>
  <c r="J38" i="1"/>
  <c r="A39" i="1"/>
  <c r="B39" i="1"/>
  <c r="C39" i="1"/>
  <c r="D39" i="1"/>
  <c r="E39" i="1" s="1"/>
  <c r="I39" i="1"/>
  <c r="J39" i="1"/>
  <c r="A40" i="1"/>
  <c r="B40" i="1"/>
  <c r="C40" i="1"/>
  <c r="D40" i="1"/>
  <c r="I40" i="1"/>
  <c r="J40" i="1"/>
  <c r="A41" i="1"/>
  <c r="B41" i="1"/>
  <c r="C41" i="1"/>
  <c r="D41" i="1"/>
  <c r="E41" i="1" s="1"/>
  <c r="I41" i="1"/>
  <c r="J41" i="1"/>
  <c r="A42" i="1"/>
  <c r="B42" i="1"/>
  <c r="C42" i="1"/>
  <c r="D42" i="1"/>
  <c r="E42" i="1" s="1"/>
  <c r="I42" i="1"/>
  <c r="J42" i="1"/>
  <c r="A43" i="1"/>
  <c r="B43" i="1"/>
  <c r="C43" i="1"/>
  <c r="D43" i="1"/>
  <c r="I43" i="1"/>
  <c r="J43" i="1"/>
  <c r="A44" i="1"/>
  <c r="B44" i="1"/>
  <c r="C44" i="1"/>
  <c r="D44" i="1"/>
  <c r="I44" i="1"/>
  <c r="J44" i="1"/>
  <c r="A45" i="1"/>
  <c r="B45" i="1"/>
  <c r="C45" i="1"/>
  <c r="D45" i="1"/>
  <c r="I45" i="1"/>
  <c r="J45" i="1"/>
  <c r="A46" i="1"/>
  <c r="B46" i="1"/>
  <c r="C46" i="1"/>
  <c r="D46" i="1"/>
  <c r="E46" i="1" s="1"/>
  <c r="I46" i="1"/>
  <c r="J46" i="1"/>
  <c r="A47" i="1"/>
  <c r="B47" i="1"/>
  <c r="C47" i="1"/>
  <c r="D47" i="1"/>
  <c r="I47" i="1"/>
  <c r="J47" i="1"/>
  <c r="A48" i="1"/>
  <c r="B48" i="1"/>
  <c r="C48" i="1"/>
  <c r="D48" i="1"/>
  <c r="E48" i="1" s="1"/>
  <c r="I48" i="1"/>
  <c r="J48" i="1"/>
  <c r="A49" i="1"/>
  <c r="B49" i="1"/>
  <c r="C49" i="1"/>
  <c r="D49" i="1"/>
  <c r="I49" i="1"/>
  <c r="J49" i="1"/>
  <c r="A50" i="1"/>
  <c r="B50" i="1"/>
  <c r="C50" i="1"/>
  <c r="E50" i="1"/>
  <c r="I50" i="1"/>
  <c r="J50" i="1"/>
  <c r="A51" i="1"/>
  <c r="B51" i="1"/>
  <c r="C51" i="1"/>
  <c r="D51" i="1"/>
  <c r="I51" i="1"/>
  <c r="J51" i="1"/>
  <c r="A52" i="1"/>
  <c r="B52" i="1"/>
  <c r="C52" i="1"/>
  <c r="D52" i="1"/>
  <c r="I52" i="1"/>
  <c r="J52" i="1"/>
  <c r="A53" i="1"/>
  <c r="B53" i="1"/>
  <c r="C53" i="1"/>
  <c r="D53" i="1"/>
  <c r="I53" i="1"/>
  <c r="J53" i="1"/>
  <c r="A54" i="1"/>
  <c r="B54" i="1"/>
  <c r="C54" i="1"/>
  <c r="D54" i="1"/>
  <c r="E54" i="1" s="1"/>
  <c r="I54" i="1"/>
  <c r="J54" i="1"/>
  <c r="A55" i="1"/>
  <c r="B55" i="1"/>
  <c r="C55" i="1"/>
  <c r="D55" i="1"/>
  <c r="E55" i="1" s="1"/>
  <c r="I55" i="1"/>
  <c r="J55" i="1"/>
  <c r="A56" i="1"/>
  <c r="B56" i="1"/>
  <c r="C56" i="1"/>
  <c r="D56" i="1"/>
  <c r="E56" i="1" s="1"/>
  <c r="I56" i="1"/>
  <c r="J56" i="1"/>
  <c r="A57" i="1"/>
  <c r="B57" i="1"/>
  <c r="C57" i="1"/>
  <c r="D57" i="1"/>
  <c r="E57" i="1"/>
  <c r="I57" i="1"/>
  <c r="J57" i="1"/>
  <c r="A58" i="1"/>
  <c r="B58" i="1"/>
  <c r="C58" i="1"/>
  <c r="D58" i="1"/>
  <c r="E58" i="1" s="1"/>
  <c r="I58" i="1"/>
  <c r="J58" i="1"/>
  <c r="A59" i="1"/>
  <c r="B59" i="1"/>
  <c r="C59" i="1"/>
  <c r="E59" i="1"/>
  <c r="I59" i="1"/>
  <c r="J59" i="1"/>
  <c r="A60" i="1"/>
  <c r="B60" i="1"/>
  <c r="C60" i="1"/>
  <c r="E60" i="1"/>
  <c r="I60" i="1"/>
  <c r="J60" i="1"/>
  <c r="A61" i="1"/>
  <c r="B61" i="1"/>
  <c r="C61" i="1"/>
  <c r="D61" i="1"/>
  <c r="I61" i="1"/>
  <c r="J61" i="1"/>
  <c r="A62" i="1"/>
  <c r="B62" i="1"/>
  <c r="C62" i="1"/>
  <c r="D62" i="1"/>
  <c r="E62" i="1"/>
  <c r="I62" i="1"/>
  <c r="J62" i="1"/>
  <c r="A63" i="1"/>
  <c r="B63" i="1"/>
  <c r="C63" i="1"/>
  <c r="D63" i="1"/>
  <c r="I63" i="1"/>
  <c r="J63" i="1"/>
  <c r="A64" i="1"/>
  <c r="B64" i="1"/>
  <c r="C64" i="1"/>
  <c r="D64" i="1"/>
  <c r="E64" i="1" s="1"/>
  <c r="I64" i="1"/>
  <c r="J64" i="1"/>
  <c r="A65" i="1"/>
  <c r="B65" i="1"/>
  <c r="C65" i="1"/>
  <c r="D65" i="1"/>
  <c r="I65" i="1"/>
  <c r="J65" i="1"/>
  <c r="A66" i="1"/>
  <c r="B66" i="1"/>
  <c r="C66" i="1"/>
  <c r="D66" i="1"/>
  <c r="E66" i="1" s="1"/>
  <c r="I66" i="1"/>
  <c r="J66" i="1"/>
  <c r="A67" i="1"/>
  <c r="B67" i="1"/>
  <c r="C67" i="1"/>
  <c r="E67" i="1"/>
  <c r="I67" i="1"/>
  <c r="J67" i="1"/>
  <c r="A68" i="1"/>
  <c r="B68" i="1"/>
  <c r="C68" i="1"/>
  <c r="E68" i="1"/>
  <c r="I68" i="1"/>
  <c r="J68" i="1"/>
  <c r="A69" i="1"/>
  <c r="B69" i="1"/>
  <c r="C69" i="1"/>
  <c r="E69" i="1"/>
  <c r="I69" i="1"/>
  <c r="J69" i="1"/>
  <c r="A70" i="1"/>
  <c r="B70" i="1"/>
  <c r="C70" i="1"/>
  <c r="D70" i="1"/>
  <c r="E70" i="1" s="1"/>
  <c r="I70" i="1"/>
  <c r="J70" i="1"/>
  <c r="A71" i="1"/>
  <c r="B71" i="1"/>
  <c r="C71" i="1"/>
  <c r="D71" i="1"/>
  <c r="E71" i="1"/>
  <c r="I71" i="1"/>
  <c r="J71" i="1"/>
  <c r="A72" i="1"/>
  <c r="B72" i="1"/>
  <c r="C72" i="1"/>
  <c r="D72" i="1"/>
  <c r="E72" i="1" s="1"/>
  <c r="I72" i="1"/>
  <c r="J72" i="1"/>
  <c r="A73" i="1"/>
  <c r="B73" i="1"/>
  <c r="C73" i="1"/>
  <c r="D73" i="1"/>
  <c r="E73" i="1"/>
  <c r="I73" i="1"/>
  <c r="J73" i="1"/>
  <c r="A74" i="1"/>
  <c r="B74" i="1"/>
  <c r="C74" i="1"/>
  <c r="D74" i="1"/>
  <c r="E74" i="1" s="1"/>
  <c r="I74" i="1"/>
  <c r="J74" i="1"/>
  <c r="A75" i="1"/>
  <c r="B75" i="1"/>
  <c r="C75" i="1"/>
  <c r="D75" i="1"/>
  <c r="E75" i="1"/>
  <c r="I75" i="1"/>
  <c r="J75" i="1"/>
  <c r="A76" i="1"/>
  <c r="B76" i="1"/>
  <c r="C76" i="1"/>
  <c r="D76" i="1"/>
  <c r="E76" i="1" s="1"/>
  <c r="I76" i="1"/>
  <c r="J76" i="1"/>
  <c r="A77" i="1"/>
  <c r="B77" i="1"/>
  <c r="C77" i="1"/>
  <c r="D77" i="1"/>
  <c r="I77" i="1"/>
  <c r="J77" i="1"/>
  <c r="A78" i="1"/>
  <c r="B78" i="1"/>
  <c r="C78" i="1"/>
  <c r="D78" i="1"/>
  <c r="E78" i="1"/>
  <c r="I78" i="1"/>
  <c r="J78" i="1"/>
  <c r="A79" i="1"/>
  <c r="B79" i="1"/>
  <c r="C79" i="1"/>
  <c r="D79" i="1"/>
  <c r="I79" i="1"/>
  <c r="J79" i="1"/>
  <c r="A80" i="1"/>
  <c r="B80" i="1"/>
  <c r="C80" i="1"/>
  <c r="D80" i="1"/>
  <c r="E80" i="1" s="1"/>
  <c r="I80" i="1"/>
  <c r="J80" i="1"/>
  <c r="A81" i="1"/>
  <c r="B81" i="1"/>
  <c r="C81" i="1"/>
  <c r="D81" i="1"/>
  <c r="I81" i="1"/>
  <c r="J81" i="1"/>
  <c r="A82" i="1"/>
  <c r="B82" i="1"/>
  <c r="C82" i="1"/>
  <c r="D82" i="1"/>
  <c r="E82" i="1" s="1"/>
  <c r="I82" i="1"/>
  <c r="J82" i="1"/>
  <c r="A83" i="1"/>
  <c r="B83" i="1"/>
  <c r="C83" i="1"/>
  <c r="D83" i="1"/>
  <c r="I83" i="1"/>
  <c r="J83" i="1"/>
  <c r="A84" i="1"/>
  <c r="B84" i="1"/>
  <c r="C84" i="1"/>
  <c r="D84" i="1"/>
  <c r="E84" i="1" s="1"/>
  <c r="I84" i="1"/>
  <c r="J84" i="1"/>
  <c r="A85" i="1"/>
  <c r="B85" i="1"/>
  <c r="C85" i="1"/>
  <c r="D85" i="1"/>
  <c r="I85" i="1"/>
  <c r="J85" i="1"/>
  <c r="A86" i="1"/>
  <c r="B86" i="1"/>
  <c r="C86" i="1"/>
  <c r="D86" i="1"/>
  <c r="E86" i="1" s="1"/>
  <c r="I86" i="1"/>
  <c r="J86" i="1"/>
  <c r="A87" i="1"/>
  <c r="B87" i="1"/>
  <c r="C87" i="1"/>
  <c r="D87" i="1"/>
  <c r="I87" i="1"/>
  <c r="J87" i="1"/>
  <c r="A88" i="1"/>
  <c r="B88" i="1"/>
  <c r="C88" i="1"/>
  <c r="D88" i="1"/>
  <c r="E88" i="1" s="1"/>
  <c r="I88" i="1"/>
  <c r="J88" i="1"/>
  <c r="A89" i="1"/>
  <c r="B89" i="1"/>
  <c r="C89" i="1"/>
  <c r="D89" i="1"/>
  <c r="I89" i="1"/>
  <c r="J89" i="1"/>
  <c r="A90" i="1"/>
  <c r="B90" i="1"/>
  <c r="C90" i="1"/>
  <c r="D90" i="1"/>
  <c r="E90" i="1"/>
  <c r="I90" i="1"/>
  <c r="J90" i="1"/>
  <c r="A91" i="1"/>
  <c r="B91" i="1"/>
  <c r="C91" i="1"/>
  <c r="D91" i="1"/>
  <c r="I91" i="1"/>
  <c r="J91" i="1"/>
  <c r="A92" i="1"/>
  <c r="B92" i="1"/>
  <c r="C92" i="1"/>
  <c r="D92" i="1"/>
  <c r="E92" i="1" s="1"/>
  <c r="I92" i="1"/>
  <c r="J92" i="1"/>
  <c r="A93" i="1"/>
  <c r="B93" i="1"/>
  <c r="C93" i="1"/>
  <c r="D93" i="1"/>
  <c r="I93" i="1"/>
  <c r="J93" i="1"/>
  <c r="A94" i="1"/>
  <c r="B94" i="1"/>
  <c r="C94" i="1"/>
  <c r="D94" i="1"/>
  <c r="E94" i="1" s="1"/>
  <c r="I94" i="1"/>
  <c r="J94" i="1"/>
  <c r="A95" i="1"/>
  <c r="B95" i="1"/>
  <c r="C95" i="1"/>
  <c r="D95" i="1"/>
  <c r="I95" i="1"/>
  <c r="J95" i="1"/>
  <c r="A96" i="1"/>
  <c r="B96" i="1"/>
  <c r="C96" i="1"/>
  <c r="D96" i="1"/>
  <c r="E96" i="1" s="1"/>
  <c r="I96" i="1"/>
  <c r="J96" i="1"/>
  <c r="A97" i="1"/>
  <c r="B97" i="1"/>
  <c r="C97" i="1"/>
  <c r="D97" i="1"/>
  <c r="I97" i="1"/>
  <c r="J97" i="1"/>
  <c r="A98" i="1"/>
  <c r="B98" i="1"/>
  <c r="C98" i="1"/>
  <c r="D98" i="1"/>
  <c r="E98" i="1"/>
  <c r="I98" i="1"/>
  <c r="J98" i="1"/>
  <c r="A99" i="1"/>
  <c r="B99" i="1"/>
  <c r="C99" i="1"/>
  <c r="D99" i="1"/>
  <c r="I99" i="1"/>
  <c r="J99" i="1"/>
  <c r="A100" i="1"/>
  <c r="B100" i="1"/>
  <c r="C100" i="1"/>
  <c r="D100" i="1"/>
  <c r="E100" i="1" s="1"/>
  <c r="I100" i="1"/>
  <c r="J100" i="1"/>
  <c r="A101" i="1"/>
  <c r="B101" i="1"/>
  <c r="C101" i="1"/>
  <c r="D101" i="1"/>
  <c r="I101" i="1"/>
  <c r="J101" i="1"/>
  <c r="A102" i="1"/>
  <c r="B102" i="1"/>
  <c r="C102" i="1"/>
  <c r="D102" i="1"/>
  <c r="E102" i="1"/>
  <c r="I102" i="1"/>
  <c r="J102" i="1"/>
  <c r="A103" i="1"/>
  <c r="B103" i="1"/>
  <c r="C103" i="1"/>
  <c r="D103" i="1"/>
  <c r="I103" i="1"/>
  <c r="J103" i="1"/>
  <c r="A104" i="1"/>
  <c r="B104" i="1"/>
  <c r="C104" i="1"/>
  <c r="D104" i="1"/>
  <c r="E104" i="1" s="1"/>
  <c r="I104" i="1"/>
  <c r="J104" i="1"/>
  <c r="A105" i="1"/>
  <c r="B105" i="1"/>
  <c r="C105" i="1"/>
  <c r="D105" i="1"/>
  <c r="I105" i="1"/>
  <c r="J105" i="1"/>
  <c r="A106" i="1"/>
  <c r="B106" i="1"/>
  <c r="C106" i="1"/>
  <c r="D106" i="1"/>
  <c r="E106" i="1" s="1"/>
  <c r="I106" i="1"/>
  <c r="J106" i="1"/>
  <c r="A107" i="1"/>
  <c r="B107" i="1"/>
  <c r="C107" i="1"/>
  <c r="D107" i="1"/>
  <c r="I107" i="1"/>
  <c r="J107" i="1"/>
  <c r="A108" i="1"/>
  <c r="B108" i="1"/>
  <c r="C108" i="1"/>
  <c r="D108" i="1"/>
  <c r="E108" i="1" s="1"/>
  <c r="I108" i="1"/>
  <c r="J108" i="1"/>
  <c r="A109" i="1"/>
  <c r="B109" i="1"/>
  <c r="C109" i="1"/>
  <c r="D109" i="1"/>
  <c r="I109" i="1"/>
  <c r="J109" i="1"/>
  <c r="A110" i="1"/>
  <c r="B110" i="1"/>
  <c r="C110" i="1"/>
  <c r="D110" i="1"/>
  <c r="E110" i="1"/>
  <c r="I110" i="1"/>
  <c r="J110" i="1"/>
  <c r="A111" i="1"/>
  <c r="B111" i="1"/>
  <c r="C111" i="1"/>
  <c r="D111" i="1"/>
  <c r="I111" i="1"/>
  <c r="J111" i="1"/>
  <c r="A112" i="1"/>
  <c r="B112" i="1"/>
  <c r="C112" i="1"/>
  <c r="E112" i="1"/>
  <c r="I112" i="1"/>
  <c r="J112" i="1"/>
  <c r="A113" i="1"/>
  <c r="B113" i="1"/>
  <c r="C113" i="1"/>
  <c r="E113" i="1"/>
  <c r="I113" i="1"/>
  <c r="J113" i="1"/>
  <c r="A114" i="1"/>
  <c r="B114" i="1"/>
  <c r="C114" i="1"/>
  <c r="E114" i="1"/>
  <c r="I114" i="1"/>
  <c r="J114" i="1"/>
  <c r="A115" i="1"/>
  <c r="B115" i="1"/>
  <c r="C115" i="1"/>
  <c r="E115" i="1"/>
  <c r="I115" i="1"/>
  <c r="J115" i="1"/>
  <c r="A116" i="1"/>
  <c r="B116" i="1"/>
  <c r="C116" i="1"/>
  <c r="E116" i="1"/>
  <c r="I116" i="1"/>
  <c r="J116" i="1"/>
  <c r="A117" i="1"/>
  <c r="B117" i="1"/>
  <c r="C117" i="1"/>
  <c r="E117" i="1"/>
  <c r="I117" i="1"/>
  <c r="J117" i="1"/>
  <c r="A118" i="1"/>
  <c r="B118" i="1"/>
  <c r="C118" i="1"/>
  <c r="E118" i="1"/>
  <c r="I118" i="1"/>
  <c r="J118" i="1"/>
  <c r="A119" i="1"/>
  <c r="B119" i="1"/>
  <c r="C119" i="1"/>
  <c r="E119" i="1"/>
  <c r="I119" i="1"/>
  <c r="J119" i="1"/>
  <c r="A120" i="1"/>
  <c r="B120" i="1"/>
  <c r="C120" i="1"/>
  <c r="E120" i="1"/>
  <c r="I120" i="1"/>
  <c r="J120" i="1"/>
  <c r="A121" i="1"/>
  <c r="B121" i="1"/>
  <c r="C121" i="1"/>
  <c r="E121" i="1"/>
  <c r="I121" i="1"/>
  <c r="J121" i="1"/>
  <c r="A122" i="1"/>
  <c r="B122" i="1"/>
  <c r="C122" i="1"/>
  <c r="E122" i="1"/>
  <c r="I122" i="1"/>
  <c r="J122" i="1"/>
  <c r="A123" i="1"/>
  <c r="B123" i="1"/>
  <c r="C123" i="1"/>
  <c r="E123" i="1"/>
  <c r="I123" i="1"/>
  <c r="J123" i="1"/>
  <c r="A124" i="1"/>
  <c r="B124" i="1"/>
  <c r="C124" i="1"/>
  <c r="E124" i="1"/>
  <c r="I124" i="1"/>
  <c r="J124" i="1"/>
  <c r="A125" i="1"/>
  <c r="B125" i="1"/>
  <c r="C125" i="1"/>
  <c r="E125" i="1"/>
  <c r="I125" i="1"/>
  <c r="J125" i="1"/>
  <c r="A126" i="1"/>
  <c r="B126" i="1"/>
  <c r="C126" i="1"/>
  <c r="E126" i="1"/>
  <c r="I126" i="1"/>
  <c r="J126" i="1"/>
  <c r="A127" i="1"/>
  <c r="B127" i="1"/>
  <c r="C127" i="1"/>
  <c r="E127" i="1"/>
  <c r="I127" i="1"/>
  <c r="J127" i="1"/>
  <c r="A128" i="1"/>
  <c r="B128" i="1"/>
  <c r="C128" i="1"/>
  <c r="E128" i="1"/>
  <c r="I128" i="1"/>
  <c r="J128" i="1"/>
  <c r="A129" i="1"/>
  <c r="B129" i="1"/>
  <c r="C129" i="1"/>
  <c r="E129" i="1"/>
  <c r="I129" i="1"/>
  <c r="J129" i="1"/>
  <c r="A130" i="1"/>
  <c r="B130" i="1"/>
  <c r="C130" i="1"/>
  <c r="D130" i="1"/>
  <c r="I130" i="1"/>
  <c r="J130" i="1"/>
  <c r="A131" i="1"/>
  <c r="B131" i="1"/>
  <c r="C131" i="1"/>
  <c r="D131" i="1"/>
  <c r="E131" i="1" s="1"/>
  <c r="I131" i="1"/>
  <c r="J131" i="1"/>
  <c r="A132" i="1"/>
  <c r="B132" i="1"/>
  <c r="C132" i="1"/>
  <c r="D132" i="1"/>
  <c r="E132" i="1"/>
  <c r="I132" i="1"/>
  <c r="J132" i="1"/>
  <c r="A133" i="1"/>
  <c r="B133" i="1"/>
  <c r="C133" i="1"/>
  <c r="D133" i="1"/>
  <c r="I133" i="1"/>
  <c r="J133" i="1"/>
  <c r="A134" i="1"/>
  <c r="B134" i="1"/>
  <c r="C134" i="1"/>
  <c r="D134" i="1"/>
  <c r="E134" i="1" s="1"/>
  <c r="I134" i="1"/>
  <c r="A135" i="1"/>
  <c r="B135" i="1"/>
  <c r="C135" i="1"/>
  <c r="D135" i="1"/>
  <c r="E135" i="1" s="1"/>
  <c r="I135" i="1"/>
  <c r="J135" i="1"/>
  <c r="A136" i="1"/>
  <c r="B136" i="1"/>
  <c r="C136" i="1"/>
  <c r="D136" i="1"/>
  <c r="E136" i="1"/>
  <c r="I136" i="1"/>
  <c r="J136" i="1"/>
  <c r="A137" i="1"/>
  <c r="B137" i="1"/>
  <c r="C137" i="1"/>
  <c r="D137" i="1"/>
  <c r="I137" i="1"/>
  <c r="J137" i="1"/>
  <c r="A138" i="1"/>
  <c r="B138" i="1"/>
  <c r="C138" i="1"/>
  <c r="D138" i="1"/>
  <c r="E138" i="1" s="1"/>
  <c r="I138" i="1"/>
  <c r="J138" i="1"/>
  <c r="A139" i="1"/>
  <c r="B139" i="1"/>
  <c r="C139" i="1"/>
  <c r="D139" i="1"/>
  <c r="I139" i="1"/>
  <c r="J139" i="1"/>
  <c r="A140" i="1"/>
  <c r="B140" i="1"/>
  <c r="C140" i="1"/>
  <c r="D140" i="1"/>
  <c r="E140" i="1"/>
  <c r="I140" i="1"/>
  <c r="J140" i="1"/>
  <c r="A141" i="1"/>
  <c r="B141" i="1"/>
  <c r="C141" i="1"/>
  <c r="E141" i="1"/>
  <c r="I141" i="1"/>
  <c r="J141" i="1"/>
  <c r="A142" i="1"/>
  <c r="B142" i="1"/>
  <c r="C142" i="1"/>
  <c r="D142" i="1"/>
  <c r="E142" i="1" s="1"/>
  <c r="I142" i="1"/>
  <c r="J142" i="1"/>
  <c r="A143" i="1"/>
  <c r="B143" i="1"/>
  <c r="C143" i="1"/>
  <c r="D143" i="1"/>
  <c r="E143" i="1" s="1"/>
  <c r="I143" i="1"/>
  <c r="J143" i="1"/>
  <c r="A144" i="1"/>
  <c r="B144" i="1"/>
  <c r="C144" i="1"/>
  <c r="D144" i="1"/>
  <c r="E144" i="1" s="1"/>
  <c r="I144" i="1"/>
  <c r="J144" i="1"/>
  <c r="A145" i="1"/>
  <c r="B145" i="1"/>
  <c r="C145" i="1"/>
  <c r="D145" i="1"/>
  <c r="E145" i="1"/>
  <c r="I145" i="1"/>
  <c r="J145" i="1"/>
  <c r="A146" i="1"/>
  <c r="B146" i="1"/>
  <c r="C146" i="1"/>
  <c r="D146" i="1"/>
  <c r="E146" i="1" s="1"/>
  <c r="I146" i="1"/>
  <c r="J146" i="1"/>
  <c r="A147" i="1"/>
  <c r="B147" i="1"/>
  <c r="C147" i="1"/>
  <c r="D147" i="1"/>
  <c r="E147" i="1"/>
  <c r="I147" i="1"/>
  <c r="J147" i="1"/>
  <c r="A148" i="1"/>
  <c r="B148" i="1"/>
  <c r="C148" i="1"/>
  <c r="E148" i="1"/>
  <c r="I148" i="1"/>
  <c r="J148" i="1"/>
  <c r="A149" i="1"/>
  <c r="B149" i="1"/>
  <c r="C149" i="1"/>
  <c r="D149" i="1"/>
  <c r="I149" i="1"/>
  <c r="J149" i="1"/>
  <c r="A150" i="1"/>
  <c r="B150" i="1"/>
  <c r="C150" i="1"/>
  <c r="D150" i="1"/>
  <c r="I150" i="1"/>
  <c r="J150" i="1"/>
  <c r="A151" i="1"/>
  <c r="B151" i="1"/>
  <c r="C151" i="1"/>
  <c r="D151" i="1"/>
  <c r="I151" i="1"/>
  <c r="J151" i="1"/>
  <c r="A152" i="1"/>
  <c r="B152" i="1"/>
  <c r="C152" i="1"/>
  <c r="D152" i="1"/>
  <c r="I152" i="1"/>
  <c r="J152" i="1"/>
  <c r="A153" i="1"/>
  <c r="B153" i="1"/>
  <c r="C153" i="1"/>
  <c r="D153" i="1"/>
  <c r="I153" i="1"/>
  <c r="J153" i="1"/>
  <c r="A154" i="1"/>
  <c r="B154" i="1"/>
  <c r="C154" i="1"/>
  <c r="D154" i="1"/>
  <c r="I154" i="1"/>
  <c r="J154" i="1"/>
  <c r="A155" i="1"/>
  <c r="B155" i="1"/>
  <c r="C155" i="1"/>
  <c r="D155" i="1"/>
  <c r="I155" i="1"/>
  <c r="J155" i="1"/>
  <c r="A156" i="1"/>
  <c r="B156" i="1"/>
  <c r="C156" i="1"/>
  <c r="D156" i="1"/>
  <c r="I156" i="1"/>
  <c r="J156" i="1"/>
  <c r="A157" i="1"/>
  <c r="B157" i="1"/>
  <c r="C157" i="1"/>
  <c r="D157" i="1"/>
  <c r="I157" i="1"/>
  <c r="J157" i="1"/>
  <c r="A158" i="1"/>
  <c r="B158" i="1"/>
  <c r="C158" i="1"/>
  <c r="D158" i="1"/>
  <c r="I158" i="1"/>
  <c r="J158" i="1"/>
  <c r="A159" i="1"/>
  <c r="B159" i="1"/>
  <c r="C159" i="1"/>
  <c r="D159" i="1"/>
  <c r="I159" i="1"/>
  <c r="J159" i="1"/>
  <c r="A160" i="1"/>
  <c r="B160" i="1"/>
  <c r="C160" i="1"/>
  <c r="D160" i="1"/>
  <c r="I160" i="1"/>
  <c r="J160" i="1"/>
  <c r="A161" i="1"/>
  <c r="B161" i="1"/>
  <c r="C161" i="1"/>
  <c r="D161" i="1"/>
  <c r="I161" i="1"/>
  <c r="J161" i="1"/>
  <c r="A162" i="1"/>
  <c r="B162" i="1"/>
  <c r="C162" i="1"/>
  <c r="D162" i="1"/>
  <c r="E162" i="1" s="1"/>
  <c r="I162" i="1"/>
  <c r="J162" i="1"/>
  <c r="A163" i="1"/>
  <c r="B163" i="1"/>
  <c r="C163" i="1"/>
  <c r="D163" i="1"/>
  <c r="E163" i="1"/>
  <c r="I163" i="1"/>
  <c r="J163" i="1"/>
  <c r="A164" i="1"/>
  <c r="B164" i="1"/>
  <c r="C164" i="1"/>
  <c r="D164" i="1"/>
  <c r="E164" i="1" s="1"/>
  <c r="I164" i="1"/>
  <c r="J164" i="1"/>
  <c r="A165" i="1"/>
  <c r="B165" i="1"/>
  <c r="C165" i="1"/>
  <c r="D165" i="1"/>
  <c r="E165" i="1" s="1"/>
  <c r="I165" i="1"/>
  <c r="J165" i="1"/>
  <c r="A166" i="1"/>
  <c r="B166" i="1"/>
  <c r="C166" i="1"/>
  <c r="D166" i="1"/>
  <c r="E166" i="1" s="1"/>
  <c r="I166" i="1"/>
  <c r="J166" i="1"/>
  <c r="A167" i="1"/>
  <c r="B167" i="1"/>
  <c r="C167" i="1"/>
  <c r="D167" i="1"/>
  <c r="E167" i="1"/>
  <c r="I167" i="1"/>
  <c r="J167" i="1"/>
  <c r="A168" i="1"/>
  <c r="B168" i="1"/>
  <c r="C168" i="1"/>
  <c r="D168" i="1"/>
  <c r="E168" i="1" s="1"/>
  <c r="I168" i="1"/>
  <c r="J168" i="1"/>
  <c r="A169" i="1"/>
  <c r="B169" i="1"/>
  <c r="C169" i="1"/>
  <c r="D169" i="1"/>
  <c r="E169" i="1"/>
  <c r="I169" i="1"/>
  <c r="J169" i="1"/>
  <c r="A170" i="1"/>
  <c r="B170" i="1"/>
  <c r="C170" i="1"/>
  <c r="D170" i="1"/>
  <c r="E170" i="1" s="1"/>
  <c r="I170" i="1"/>
  <c r="J170" i="1"/>
  <c r="A171" i="1"/>
  <c r="B171" i="1"/>
  <c r="C171" i="1"/>
  <c r="D171" i="1"/>
  <c r="E171" i="1"/>
  <c r="I171" i="1"/>
  <c r="J171" i="1"/>
  <c r="A172" i="1"/>
  <c r="B172" i="1"/>
  <c r="C172" i="1"/>
  <c r="D172" i="1"/>
  <c r="E172" i="1" s="1"/>
  <c r="I172" i="1"/>
  <c r="J172" i="1"/>
  <c r="A173" i="1"/>
  <c r="B173" i="1"/>
  <c r="C173" i="1"/>
  <c r="D173" i="1"/>
  <c r="E173" i="1"/>
  <c r="I173" i="1"/>
  <c r="J173" i="1"/>
  <c r="A174" i="1"/>
  <c r="B174" i="1"/>
  <c r="C174" i="1"/>
  <c r="D174" i="1"/>
  <c r="E174" i="1" s="1"/>
  <c r="I174" i="1"/>
  <c r="J174" i="1"/>
  <c r="A175" i="1"/>
  <c r="B175" i="1"/>
  <c r="C175" i="1"/>
  <c r="D175" i="1"/>
  <c r="E175" i="1" s="1"/>
  <c r="I175" i="1"/>
  <c r="J175" i="1"/>
  <c r="A176" i="1"/>
  <c r="B176" i="1"/>
  <c r="C176" i="1"/>
  <c r="D176" i="1"/>
  <c r="E176" i="1" s="1"/>
  <c r="I176" i="1"/>
  <c r="J176" i="1"/>
  <c r="A177" i="1"/>
  <c r="B177" i="1"/>
  <c r="C177" i="1"/>
  <c r="D177" i="1"/>
  <c r="E177" i="1" s="1"/>
  <c r="I177" i="1"/>
  <c r="J177" i="1"/>
  <c r="A178" i="1"/>
  <c r="B178" i="1"/>
  <c r="C178" i="1"/>
  <c r="D178" i="1"/>
  <c r="E178" i="1" s="1"/>
  <c r="I178" i="1"/>
  <c r="J178" i="1"/>
  <c r="A179" i="1"/>
  <c r="B179" i="1"/>
  <c r="C179" i="1"/>
  <c r="D179" i="1"/>
  <c r="E179" i="1" s="1"/>
  <c r="I179" i="1"/>
  <c r="J179" i="1"/>
  <c r="A180" i="1"/>
  <c r="B180" i="1"/>
  <c r="C180" i="1"/>
  <c r="D180" i="1"/>
  <c r="E180" i="1" s="1"/>
  <c r="I180" i="1"/>
  <c r="J180" i="1"/>
  <c r="A181" i="1"/>
  <c r="B181" i="1"/>
  <c r="C181" i="1"/>
  <c r="D181" i="1"/>
  <c r="E181" i="1" s="1"/>
  <c r="I181" i="1"/>
  <c r="J181" i="1"/>
  <c r="A182" i="1"/>
  <c r="B182" i="1"/>
  <c r="C182" i="1"/>
  <c r="D182" i="1"/>
  <c r="E182" i="1" s="1"/>
  <c r="I182" i="1"/>
  <c r="J182" i="1"/>
  <c r="A183" i="1"/>
  <c r="B183" i="1"/>
  <c r="C183" i="1"/>
  <c r="D183" i="1"/>
  <c r="E183" i="1"/>
  <c r="I183" i="1"/>
  <c r="J183" i="1"/>
  <c r="A184" i="1"/>
  <c r="B184" i="1"/>
  <c r="C184" i="1"/>
  <c r="D184" i="1"/>
  <c r="E184" i="1" s="1"/>
  <c r="I184" i="1"/>
  <c r="J184" i="1"/>
  <c r="A185" i="1"/>
  <c r="B185" i="1"/>
  <c r="C185" i="1"/>
  <c r="D185" i="1"/>
  <c r="E185" i="1"/>
  <c r="I185" i="1"/>
  <c r="J185" i="1"/>
  <c r="A186" i="1"/>
  <c r="B186" i="1"/>
  <c r="C186" i="1"/>
  <c r="D186" i="1"/>
  <c r="E186" i="1" s="1"/>
  <c r="I186" i="1"/>
  <c r="J186" i="1"/>
  <c r="A187" i="1"/>
  <c r="B187" i="1"/>
  <c r="C187" i="1"/>
  <c r="D187" i="1"/>
  <c r="E187" i="1"/>
  <c r="I187" i="1"/>
  <c r="J187" i="1"/>
  <c r="A188" i="1"/>
  <c r="B188" i="1"/>
  <c r="C188" i="1"/>
  <c r="D188" i="1"/>
  <c r="E188" i="1" s="1"/>
  <c r="I188" i="1"/>
  <c r="J188" i="1"/>
  <c r="A189" i="1"/>
  <c r="B189" i="1"/>
  <c r="C189" i="1"/>
  <c r="D189" i="1"/>
  <c r="E189" i="1"/>
  <c r="I189" i="1"/>
  <c r="J189" i="1"/>
  <c r="A190" i="1"/>
  <c r="B190" i="1"/>
  <c r="C190" i="1"/>
  <c r="D190" i="1"/>
  <c r="E190" i="1" s="1"/>
  <c r="I190" i="1"/>
  <c r="J190" i="1"/>
  <c r="A191" i="1"/>
  <c r="B191" i="1"/>
  <c r="C191" i="1"/>
  <c r="D191" i="1"/>
  <c r="E191" i="1" s="1"/>
  <c r="I191" i="1"/>
  <c r="J191" i="1"/>
  <c r="A192" i="1"/>
  <c r="B192" i="1"/>
  <c r="C192" i="1"/>
  <c r="D192" i="1"/>
  <c r="E192" i="1" s="1"/>
  <c r="I192" i="1"/>
  <c r="J192" i="1"/>
  <c r="A193" i="1"/>
  <c r="B193" i="1"/>
  <c r="C193" i="1"/>
  <c r="D193" i="1"/>
  <c r="E193" i="1" s="1"/>
  <c r="I193" i="1"/>
  <c r="J193" i="1"/>
  <c r="A194" i="1"/>
  <c r="B194" i="1"/>
  <c r="C194" i="1"/>
  <c r="D194" i="1"/>
  <c r="E194" i="1" s="1"/>
  <c r="I194" i="1"/>
  <c r="J194" i="1"/>
  <c r="A195" i="1"/>
  <c r="B195" i="1"/>
  <c r="C195" i="1"/>
  <c r="D195" i="1"/>
  <c r="E195" i="1" s="1"/>
  <c r="I195" i="1"/>
  <c r="J195" i="1"/>
  <c r="A196" i="1"/>
  <c r="B196" i="1"/>
  <c r="C196" i="1"/>
  <c r="D196" i="1"/>
  <c r="E196" i="1" s="1"/>
  <c r="I196" i="1"/>
  <c r="J196" i="1"/>
  <c r="A197" i="1"/>
  <c r="B197" i="1"/>
  <c r="C197" i="1"/>
  <c r="E197" i="1"/>
  <c r="I197" i="1"/>
  <c r="J197" i="1"/>
  <c r="A198" i="1"/>
  <c r="B198" i="1"/>
  <c r="C198" i="1"/>
  <c r="E198" i="1"/>
  <c r="I198" i="1"/>
  <c r="J198" i="1"/>
  <c r="A199" i="1"/>
  <c r="B199" i="1"/>
  <c r="C199" i="1"/>
  <c r="E199" i="1"/>
  <c r="I199" i="1"/>
  <c r="J199" i="1"/>
  <c r="A200" i="1"/>
  <c r="B200" i="1"/>
  <c r="C200" i="1"/>
  <c r="E200" i="1"/>
  <c r="I200" i="1"/>
  <c r="J200" i="1"/>
  <c r="A201" i="1"/>
  <c r="B201" i="1"/>
  <c r="C201" i="1"/>
  <c r="E201" i="1"/>
  <c r="I201" i="1"/>
  <c r="J201" i="1"/>
  <c r="A202" i="1"/>
  <c r="B202" i="1"/>
  <c r="C202" i="1"/>
  <c r="E202" i="1"/>
  <c r="I202" i="1"/>
  <c r="J202" i="1"/>
  <c r="A203" i="1"/>
  <c r="B203" i="1"/>
  <c r="C203" i="1"/>
  <c r="E203" i="1"/>
  <c r="I203" i="1"/>
  <c r="J203" i="1"/>
  <c r="A204" i="1"/>
  <c r="B204" i="1"/>
  <c r="C204" i="1"/>
  <c r="E204" i="1"/>
  <c r="I204" i="1"/>
  <c r="J204" i="1"/>
  <c r="A205" i="1"/>
  <c r="B205" i="1"/>
  <c r="C205" i="1"/>
  <c r="E205" i="1"/>
  <c r="I205" i="1"/>
  <c r="J205" i="1"/>
  <c r="A206" i="1"/>
  <c r="B206" i="1"/>
  <c r="C206" i="1"/>
  <c r="E206" i="1"/>
  <c r="I206" i="1"/>
  <c r="J206" i="1"/>
  <c r="A207" i="1"/>
  <c r="B207" i="1"/>
  <c r="C207" i="1"/>
  <c r="E207" i="1"/>
  <c r="I207" i="1"/>
  <c r="J207" i="1"/>
  <c r="A208" i="1"/>
  <c r="B208" i="1"/>
  <c r="C208" i="1"/>
  <c r="E208" i="1"/>
  <c r="I208" i="1"/>
  <c r="J208" i="1"/>
  <c r="A209" i="1"/>
  <c r="B209" i="1"/>
  <c r="C209" i="1"/>
  <c r="E209" i="1"/>
  <c r="I209" i="1"/>
  <c r="J209" i="1"/>
  <c r="A210" i="1"/>
  <c r="B210" i="1"/>
  <c r="C210" i="1"/>
  <c r="E210" i="1"/>
  <c r="I210" i="1"/>
  <c r="J210" i="1"/>
  <c r="A211" i="1"/>
  <c r="B211" i="1"/>
  <c r="C211" i="1"/>
  <c r="E211" i="1"/>
  <c r="I211" i="1"/>
  <c r="J211" i="1"/>
  <c r="A212" i="1"/>
  <c r="B212" i="1"/>
  <c r="C212" i="1"/>
  <c r="E212" i="1"/>
  <c r="I212" i="1"/>
  <c r="J212" i="1"/>
  <c r="A213" i="1"/>
  <c r="B213" i="1"/>
  <c r="C213" i="1"/>
  <c r="E213" i="1"/>
  <c r="I213" i="1"/>
  <c r="J213" i="1"/>
  <c r="A214" i="1"/>
  <c r="B214" i="1"/>
  <c r="C214" i="1"/>
  <c r="E214" i="1"/>
  <c r="I214" i="1"/>
  <c r="J214" i="1"/>
  <c r="A215" i="1"/>
  <c r="B215" i="1"/>
  <c r="C215" i="1"/>
  <c r="E215" i="1"/>
  <c r="I215" i="1"/>
  <c r="J215" i="1"/>
  <c r="A216" i="1"/>
  <c r="B216" i="1"/>
  <c r="C216" i="1"/>
  <c r="E216" i="1"/>
  <c r="I216" i="1"/>
  <c r="J216" i="1"/>
  <c r="A217" i="1"/>
  <c r="B217" i="1"/>
  <c r="C217" i="1"/>
  <c r="E217" i="1"/>
  <c r="I217" i="1"/>
  <c r="J217" i="1"/>
  <c r="A218" i="1"/>
  <c r="B218" i="1"/>
  <c r="C218" i="1"/>
  <c r="E218" i="1"/>
  <c r="I218" i="1"/>
  <c r="J218" i="1"/>
  <c r="A219" i="1"/>
  <c r="B219" i="1"/>
  <c r="C219" i="1"/>
  <c r="E219" i="1"/>
  <c r="I219" i="1"/>
  <c r="J219" i="1"/>
  <c r="A220" i="1"/>
  <c r="B220" i="1"/>
  <c r="C220" i="1"/>
  <c r="E220" i="1"/>
  <c r="I220" i="1"/>
  <c r="J220" i="1"/>
  <c r="A221" i="1"/>
  <c r="B221" i="1"/>
  <c r="C221" i="1"/>
  <c r="E221" i="1"/>
  <c r="I221" i="1"/>
  <c r="J221" i="1"/>
  <c r="A222" i="1"/>
  <c r="B222" i="1"/>
  <c r="C222" i="1"/>
  <c r="E222" i="1"/>
  <c r="I222" i="1"/>
  <c r="J222" i="1"/>
  <c r="A223" i="1"/>
  <c r="B223" i="1"/>
  <c r="C223" i="1"/>
  <c r="E223" i="1"/>
  <c r="I223" i="1"/>
  <c r="J223" i="1"/>
  <c r="A224" i="1"/>
  <c r="B224" i="1"/>
  <c r="C224" i="1"/>
  <c r="E224" i="1"/>
  <c r="I224" i="1"/>
  <c r="J224" i="1"/>
  <c r="A225" i="1"/>
  <c r="B225" i="1"/>
  <c r="C225" i="1"/>
  <c r="E225" i="1"/>
  <c r="I225" i="1"/>
  <c r="J225" i="1"/>
  <c r="A226" i="1"/>
  <c r="B226" i="1"/>
  <c r="C226" i="1"/>
  <c r="E226" i="1"/>
  <c r="I226" i="1"/>
  <c r="J226" i="1"/>
  <c r="A227" i="1"/>
  <c r="B227" i="1"/>
  <c r="C227" i="1"/>
  <c r="E227" i="1"/>
  <c r="I227" i="1"/>
  <c r="J227" i="1"/>
  <c r="A228" i="1"/>
  <c r="B228" i="1"/>
  <c r="C228" i="1"/>
  <c r="E228" i="1"/>
  <c r="I228" i="1"/>
  <c r="J228" i="1"/>
  <c r="A229" i="1"/>
  <c r="B229" i="1"/>
  <c r="C229" i="1"/>
  <c r="E229" i="1"/>
  <c r="I229" i="1"/>
  <c r="J229" i="1"/>
  <c r="A230" i="1"/>
  <c r="B230" i="1"/>
  <c r="C230" i="1"/>
  <c r="E230" i="1"/>
  <c r="I230" i="1"/>
  <c r="J230" i="1"/>
  <c r="A231" i="1"/>
  <c r="B231" i="1"/>
  <c r="C231" i="1"/>
  <c r="E231" i="1"/>
  <c r="I231" i="1"/>
  <c r="J231" i="1"/>
  <c r="A232" i="1"/>
  <c r="B232" i="1"/>
  <c r="C232" i="1"/>
  <c r="E232" i="1"/>
  <c r="I232" i="1"/>
  <c r="J232" i="1"/>
  <c r="A233" i="1"/>
  <c r="B233" i="1"/>
  <c r="C233" i="1"/>
  <c r="E233" i="1"/>
  <c r="I233" i="1"/>
  <c r="J233" i="1"/>
  <c r="A234" i="1"/>
  <c r="B234" i="1"/>
  <c r="C234" i="1"/>
  <c r="E234" i="1"/>
  <c r="I234" i="1"/>
  <c r="J234" i="1"/>
  <c r="A235" i="1"/>
  <c r="B235" i="1"/>
  <c r="C235" i="1"/>
  <c r="E235" i="1"/>
  <c r="I235" i="1"/>
  <c r="J235" i="1"/>
  <c r="A236" i="1"/>
  <c r="B236" i="1"/>
  <c r="C236" i="1"/>
  <c r="E236" i="1"/>
  <c r="I236" i="1"/>
  <c r="J236" i="1"/>
  <c r="A237" i="1"/>
  <c r="B237" i="1"/>
  <c r="C237" i="1"/>
  <c r="E237" i="1"/>
  <c r="I237" i="1"/>
  <c r="J237" i="1"/>
  <c r="A238" i="1"/>
  <c r="B238" i="1"/>
  <c r="C238" i="1"/>
  <c r="E238" i="1"/>
  <c r="I238" i="1"/>
  <c r="J238" i="1"/>
  <c r="A239" i="1"/>
  <c r="B239" i="1"/>
  <c r="C239" i="1"/>
  <c r="D239" i="1"/>
  <c r="I239" i="1"/>
  <c r="J239" i="1"/>
  <c r="A240" i="1"/>
  <c r="B240" i="1"/>
  <c r="C240" i="1"/>
  <c r="D240" i="1"/>
  <c r="E240" i="1"/>
  <c r="I240" i="1"/>
  <c r="J240" i="1"/>
  <c r="A241" i="1"/>
  <c r="B241" i="1"/>
  <c r="C241" i="1"/>
  <c r="D241" i="1"/>
  <c r="I241" i="1"/>
  <c r="J241" i="1"/>
  <c r="A242" i="1"/>
  <c r="B242" i="1"/>
  <c r="C242" i="1"/>
  <c r="D242" i="1"/>
  <c r="I242" i="1"/>
  <c r="J242" i="1"/>
  <c r="A243" i="1"/>
  <c r="B243" i="1"/>
  <c r="C243" i="1"/>
  <c r="D243" i="1"/>
  <c r="E243" i="1" s="1"/>
  <c r="I243" i="1"/>
  <c r="J243" i="1"/>
  <c r="A244" i="1"/>
  <c r="B244" i="1"/>
  <c r="C244" i="1"/>
  <c r="D244" i="1"/>
  <c r="I244" i="1"/>
  <c r="J244" i="1"/>
  <c r="A245" i="1"/>
  <c r="B245" i="1"/>
  <c r="C245" i="1"/>
  <c r="D245" i="1"/>
  <c r="E245" i="1" s="1"/>
  <c r="I245" i="1"/>
  <c r="J245" i="1"/>
  <c r="A246" i="1"/>
  <c r="B246" i="1"/>
  <c r="C246" i="1"/>
  <c r="D246" i="1"/>
  <c r="I246" i="1"/>
  <c r="J246" i="1"/>
  <c r="A247" i="1"/>
  <c r="B247" i="1"/>
  <c r="C247" i="1"/>
  <c r="D247" i="1"/>
  <c r="E247" i="1" s="1"/>
  <c r="I247" i="1"/>
  <c r="J247" i="1"/>
  <c r="A248" i="1"/>
  <c r="B248" i="1"/>
  <c r="C248" i="1"/>
  <c r="D248" i="1"/>
  <c r="I248" i="1"/>
  <c r="J248" i="1"/>
  <c r="A249" i="1"/>
  <c r="B249" i="1"/>
  <c r="C249" i="1"/>
  <c r="D249" i="1"/>
  <c r="E249" i="1"/>
  <c r="I249" i="1"/>
  <c r="J249" i="1"/>
  <c r="A250" i="1"/>
  <c r="B250" i="1"/>
  <c r="C250" i="1"/>
  <c r="D250" i="1"/>
  <c r="I250" i="1"/>
  <c r="J250" i="1"/>
  <c r="A251" i="1"/>
  <c r="B251" i="1"/>
  <c r="C251" i="1"/>
  <c r="D251" i="1"/>
  <c r="E251" i="1"/>
  <c r="I251" i="1"/>
  <c r="J251" i="1"/>
  <c r="A252" i="1"/>
  <c r="B252" i="1"/>
  <c r="C252" i="1"/>
  <c r="D252" i="1"/>
  <c r="E252" i="1" s="1"/>
  <c r="I252" i="1"/>
  <c r="J252" i="1"/>
  <c r="A253" i="1"/>
  <c r="B253" i="1"/>
  <c r="C253" i="1"/>
  <c r="D253" i="1"/>
  <c r="I253" i="1"/>
  <c r="J253" i="1"/>
  <c r="A254" i="1"/>
  <c r="B254" i="1"/>
  <c r="C254" i="1"/>
  <c r="D254" i="1"/>
  <c r="I254" i="1"/>
  <c r="J254" i="1"/>
  <c r="A255" i="1"/>
  <c r="B255" i="1"/>
  <c r="C255" i="1"/>
  <c r="D255" i="1"/>
  <c r="E255" i="1" s="1"/>
  <c r="I255" i="1"/>
  <c r="J255" i="1"/>
  <c r="A256" i="1"/>
  <c r="B256" i="1"/>
  <c r="C256" i="1"/>
  <c r="D256" i="1"/>
  <c r="I256" i="1"/>
  <c r="J256" i="1"/>
  <c r="A257" i="1"/>
  <c r="B257" i="1"/>
  <c r="C257" i="1"/>
  <c r="D257" i="1"/>
  <c r="E257" i="1"/>
  <c r="I257" i="1"/>
  <c r="J257" i="1"/>
  <c r="A258" i="1"/>
  <c r="B258" i="1"/>
  <c r="C258" i="1"/>
  <c r="D258" i="1"/>
  <c r="I258" i="1"/>
  <c r="J258" i="1"/>
  <c r="A259" i="1"/>
  <c r="B259" i="1"/>
  <c r="C259" i="1"/>
  <c r="D259" i="1"/>
  <c r="E259" i="1" s="1"/>
  <c r="I259" i="1"/>
  <c r="J259" i="1"/>
  <c r="A260" i="1"/>
  <c r="B260" i="1"/>
  <c r="C260" i="1"/>
  <c r="D260" i="1"/>
  <c r="I260" i="1"/>
  <c r="J260" i="1"/>
  <c r="A261" i="1"/>
  <c r="B261" i="1"/>
  <c r="C261" i="1"/>
  <c r="D261" i="1"/>
  <c r="E261" i="1" s="1"/>
  <c r="I261" i="1"/>
  <c r="J261" i="1"/>
  <c r="A262" i="1"/>
  <c r="B262" i="1"/>
  <c r="C262" i="1"/>
  <c r="D262" i="1"/>
  <c r="I262" i="1"/>
  <c r="J262" i="1"/>
  <c r="A263" i="1"/>
  <c r="B263" i="1"/>
  <c r="C263" i="1"/>
  <c r="D263" i="1"/>
  <c r="E263" i="1" s="1"/>
  <c r="I263" i="1"/>
  <c r="J263" i="1"/>
  <c r="A264" i="1"/>
  <c r="B264" i="1"/>
  <c r="C264" i="1"/>
  <c r="D264" i="1"/>
  <c r="I264" i="1"/>
  <c r="J264" i="1"/>
  <c r="A265" i="1"/>
  <c r="B265" i="1"/>
  <c r="C265" i="1"/>
  <c r="D265" i="1"/>
  <c r="E265" i="1" s="1"/>
  <c r="I265" i="1"/>
  <c r="J265" i="1"/>
  <c r="A266" i="1"/>
  <c r="B266" i="1"/>
  <c r="C266" i="1"/>
  <c r="D266" i="1"/>
  <c r="I266" i="1"/>
  <c r="J266" i="1"/>
  <c r="A267" i="1"/>
  <c r="B267" i="1"/>
  <c r="C267" i="1"/>
  <c r="D267" i="1"/>
  <c r="E267" i="1" s="1"/>
  <c r="I267" i="1"/>
  <c r="J267" i="1"/>
  <c r="A268" i="1"/>
  <c r="B268" i="1"/>
  <c r="C268" i="1"/>
  <c r="D268" i="1"/>
  <c r="I268" i="1"/>
  <c r="J268" i="1"/>
  <c r="A269" i="1"/>
  <c r="B269" i="1"/>
  <c r="C269" i="1"/>
  <c r="D269" i="1"/>
  <c r="E269" i="1"/>
  <c r="I269" i="1"/>
  <c r="J269" i="1"/>
  <c r="A270" i="1"/>
  <c r="B270" i="1"/>
  <c r="C270" i="1"/>
  <c r="D270" i="1"/>
  <c r="I270" i="1"/>
  <c r="J270" i="1"/>
  <c r="A271" i="1"/>
  <c r="B271" i="1"/>
  <c r="C271" i="1"/>
  <c r="D271" i="1"/>
  <c r="E271" i="1" s="1"/>
  <c r="I271" i="1"/>
  <c r="J271" i="1"/>
  <c r="A272" i="1"/>
  <c r="B272" i="1"/>
  <c r="C272" i="1"/>
  <c r="D272" i="1"/>
  <c r="I272" i="1"/>
  <c r="J272" i="1"/>
  <c r="A273" i="1"/>
  <c r="B273" i="1"/>
  <c r="C273" i="1"/>
  <c r="D273" i="1"/>
  <c r="E273" i="1" s="1"/>
  <c r="I273" i="1"/>
  <c r="J273" i="1"/>
  <c r="A274" i="1"/>
  <c r="B274" i="1"/>
  <c r="C274" i="1"/>
  <c r="D274" i="1"/>
  <c r="I274" i="1"/>
  <c r="J274" i="1"/>
  <c r="A275" i="1"/>
  <c r="B275" i="1"/>
  <c r="C275" i="1"/>
  <c r="D275" i="1"/>
  <c r="E275" i="1" s="1"/>
  <c r="I275" i="1"/>
  <c r="J275" i="1"/>
  <c r="A276" i="1"/>
  <c r="B276" i="1"/>
  <c r="C276" i="1"/>
  <c r="D276" i="1"/>
  <c r="I276" i="1"/>
  <c r="J276" i="1"/>
  <c r="A277" i="1"/>
  <c r="B277" i="1"/>
  <c r="C277" i="1"/>
  <c r="D277" i="1"/>
  <c r="E277" i="1" s="1"/>
  <c r="I277" i="1"/>
  <c r="J277" i="1"/>
  <c r="A278" i="1"/>
  <c r="B278" i="1"/>
  <c r="C278" i="1"/>
  <c r="D278" i="1"/>
  <c r="I278" i="1"/>
  <c r="J278" i="1"/>
  <c r="A279" i="1"/>
  <c r="B279" i="1"/>
  <c r="C279" i="1"/>
  <c r="D279" i="1"/>
  <c r="E279" i="1" s="1"/>
  <c r="I279" i="1"/>
  <c r="J279" i="1"/>
  <c r="A280" i="1"/>
  <c r="B280" i="1"/>
  <c r="C280" i="1"/>
  <c r="D280" i="1"/>
  <c r="I280" i="1"/>
  <c r="J280" i="1"/>
  <c r="A281" i="1"/>
  <c r="B281" i="1"/>
  <c r="C281" i="1"/>
  <c r="D281" i="1"/>
  <c r="E281" i="1" s="1"/>
  <c r="I281" i="1"/>
  <c r="J281" i="1"/>
  <c r="A282" i="1"/>
  <c r="B282" i="1"/>
  <c r="C282" i="1"/>
  <c r="D282" i="1"/>
  <c r="E282" i="1" s="1"/>
  <c r="I282" i="1"/>
  <c r="J282" i="1"/>
  <c r="A283" i="1"/>
  <c r="B283" i="1"/>
  <c r="C283" i="1"/>
  <c r="D283" i="1"/>
  <c r="I283" i="1"/>
  <c r="J283" i="1"/>
  <c r="A284" i="1"/>
  <c r="B284" i="1"/>
  <c r="C284" i="1"/>
  <c r="D284" i="1"/>
  <c r="E284" i="1" s="1"/>
  <c r="I284" i="1"/>
  <c r="J284" i="1"/>
  <c r="A285" i="1"/>
  <c r="B285" i="1"/>
  <c r="C285" i="1"/>
  <c r="D285" i="1"/>
  <c r="I285" i="1"/>
  <c r="J285" i="1"/>
  <c r="A286" i="1"/>
  <c r="B286" i="1"/>
  <c r="C286" i="1"/>
  <c r="D286" i="1"/>
  <c r="E286" i="1" s="1"/>
  <c r="I286" i="1"/>
  <c r="J286" i="1"/>
  <c r="A287" i="1"/>
  <c r="B287" i="1"/>
  <c r="C287" i="1"/>
  <c r="D287" i="1"/>
  <c r="I287" i="1"/>
  <c r="J287" i="1"/>
  <c r="A288" i="1"/>
  <c r="B288" i="1"/>
  <c r="C288" i="1"/>
  <c r="D288" i="1"/>
  <c r="E288" i="1" s="1"/>
  <c r="I288" i="1"/>
  <c r="J288" i="1"/>
  <c r="A289" i="1"/>
  <c r="B289" i="1"/>
  <c r="C289" i="1"/>
  <c r="D289" i="1"/>
  <c r="I289" i="1"/>
  <c r="J289" i="1"/>
  <c r="A290" i="1"/>
  <c r="B290" i="1"/>
  <c r="C290" i="1"/>
  <c r="D290" i="1"/>
  <c r="E290" i="1" s="1"/>
  <c r="I290" i="1"/>
  <c r="J290" i="1"/>
  <c r="A291" i="1"/>
  <c r="B291" i="1"/>
  <c r="C291" i="1"/>
  <c r="D291" i="1"/>
  <c r="I291" i="1"/>
  <c r="J291" i="1"/>
  <c r="A292" i="1"/>
  <c r="B292" i="1"/>
  <c r="C292" i="1"/>
  <c r="D292" i="1"/>
  <c r="E292" i="1"/>
  <c r="I292" i="1"/>
  <c r="J292" i="1"/>
  <c r="A293" i="1"/>
  <c r="B293" i="1"/>
  <c r="C293" i="1"/>
  <c r="D293" i="1"/>
  <c r="I293" i="1"/>
  <c r="J293" i="1"/>
  <c r="A294" i="1"/>
  <c r="B294" i="1"/>
  <c r="C294" i="1"/>
  <c r="D294" i="1"/>
  <c r="E294" i="1" s="1"/>
  <c r="I294" i="1"/>
  <c r="J294" i="1"/>
  <c r="A295" i="1"/>
  <c r="B295" i="1"/>
  <c r="C295" i="1"/>
  <c r="D295" i="1"/>
  <c r="I295" i="1"/>
  <c r="J295" i="1"/>
  <c r="A296" i="1"/>
  <c r="B296" i="1"/>
  <c r="C296" i="1"/>
  <c r="D296" i="1"/>
  <c r="E296" i="1" s="1"/>
  <c r="I296" i="1"/>
  <c r="J296" i="1"/>
  <c r="A297" i="1"/>
  <c r="B297" i="1"/>
  <c r="C297" i="1"/>
  <c r="D297" i="1"/>
  <c r="I297" i="1"/>
  <c r="J297" i="1"/>
  <c r="A298" i="1"/>
  <c r="B298" i="1"/>
  <c r="C298" i="1"/>
  <c r="D298" i="1"/>
  <c r="I298" i="1"/>
  <c r="J298" i="1"/>
  <c r="A299" i="1"/>
  <c r="B299" i="1"/>
  <c r="C299" i="1"/>
  <c r="D299" i="1"/>
  <c r="I299" i="1"/>
  <c r="J299" i="1"/>
  <c r="A300" i="1"/>
  <c r="B300" i="1"/>
  <c r="C300" i="1"/>
  <c r="D300" i="1"/>
  <c r="E300" i="1" s="1"/>
  <c r="I300" i="1"/>
  <c r="J300" i="1"/>
  <c r="A301" i="1"/>
  <c r="B301" i="1"/>
  <c r="C301" i="1"/>
  <c r="D301" i="1"/>
  <c r="E301" i="1"/>
  <c r="I301" i="1"/>
  <c r="J301" i="1"/>
  <c r="A302" i="1"/>
  <c r="B302" i="1"/>
  <c r="C302" i="1"/>
  <c r="D302" i="1"/>
  <c r="I302" i="1"/>
  <c r="J302" i="1"/>
  <c r="A303" i="1"/>
  <c r="B303" i="1"/>
  <c r="C303" i="1"/>
  <c r="D303" i="1"/>
  <c r="E303" i="1" s="1"/>
  <c r="I303" i="1"/>
  <c r="J303" i="1"/>
  <c r="A304" i="1"/>
  <c r="B304" i="1"/>
  <c r="C304" i="1"/>
  <c r="E304" i="1"/>
  <c r="I304" i="1"/>
  <c r="J304" i="1"/>
  <c r="A305" i="1"/>
  <c r="B305" i="1"/>
  <c r="C305" i="1"/>
  <c r="D305" i="1"/>
  <c r="E305" i="1" s="1"/>
  <c r="I305" i="1"/>
  <c r="J305" i="1"/>
  <c r="A306" i="1"/>
  <c r="B306" i="1"/>
  <c r="C306" i="1"/>
  <c r="D306" i="1"/>
  <c r="I306" i="1"/>
  <c r="J306" i="1"/>
  <c r="A307" i="1"/>
  <c r="B307" i="1"/>
  <c r="C307" i="1"/>
  <c r="D307" i="1"/>
  <c r="E307" i="1" s="1"/>
  <c r="I307" i="1"/>
  <c r="J307" i="1"/>
  <c r="A308" i="1"/>
  <c r="B308" i="1"/>
  <c r="C308" i="1"/>
  <c r="D308" i="1"/>
  <c r="I308" i="1"/>
  <c r="J308" i="1"/>
  <c r="A309" i="1"/>
  <c r="B309" i="1"/>
  <c r="C309" i="1"/>
  <c r="D309" i="1"/>
  <c r="E309" i="1" s="1"/>
  <c r="I309" i="1"/>
  <c r="J309" i="1"/>
  <c r="A310" i="1"/>
  <c r="B310" i="1"/>
  <c r="C310" i="1"/>
  <c r="D310" i="1"/>
  <c r="I310" i="1"/>
  <c r="J310" i="1"/>
  <c r="A311" i="1"/>
  <c r="B311" i="1"/>
  <c r="C311" i="1"/>
  <c r="D311" i="1"/>
  <c r="E311" i="1" s="1"/>
  <c r="I311" i="1"/>
  <c r="J311" i="1"/>
  <c r="A312" i="1"/>
  <c r="B312" i="1"/>
  <c r="C312" i="1"/>
  <c r="D312" i="1"/>
  <c r="I312" i="1"/>
  <c r="J312" i="1"/>
  <c r="A313" i="1"/>
  <c r="B313" i="1"/>
  <c r="C313" i="1"/>
  <c r="D313" i="1"/>
  <c r="E313" i="1"/>
  <c r="I313" i="1"/>
  <c r="J313" i="1"/>
  <c r="A314" i="1"/>
  <c r="B314" i="1"/>
  <c r="C314" i="1"/>
  <c r="D314" i="1"/>
  <c r="I314" i="1"/>
  <c r="J314" i="1"/>
  <c r="A315" i="1"/>
  <c r="B315" i="1"/>
  <c r="C315" i="1"/>
  <c r="D315" i="1"/>
  <c r="E315" i="1"/>
  <c r="I315" i="1"/>
  <c r="J315" i="1"/>
  <c r="A316" i="1"/>
  <c r="B316" i="1"/>
  <c r="C316" i="1"/>
  <c r="D316" i="1"/>
  <c r="I316" i="1"/>
  <c r="J316" i="1"/>
  <c r="A317" i="1"/>
  <c r="B317" i="1"/>
  <c r="C317" i="1"/>
  <c r="D317" i="1"/>
  <c r="E317" i="1" s="1"/>
  <c r="I317" i="1"/>
  <c r="J317" i="1"/>
  <c r="A318" i="1"/>
  <c r="B318" i="1"/>
  <c r="C318" i="1"/>
  <c r="D318" i="1"/>
  <c r="I318" i="1"/>
  <c r="J318" i="1"/>
  <c r="A319" i="1"/>
  <c r="B319" i="1"/>
  <c r="C319" i="1"/>
  <c r="D319" i="1"/>
  <c r="E319" i="1" s="1"/>
  <c r="I319" i="1"/>
  <c r="J319" i="1"/>
  <c r="A320" i="1"/>
  <c r="B320" i="1"/>
  <c r="C320" i="1"/>
  <c r="D320" i="1"/>
  <c r="I320" i="1"/>
  <c r="J320" i="1"/>
  <c r="A321" i="1"/>
  <c r="B321" i="1"/>
  <c r="C321" i="1"/>
  <c r="D321" i="1"/>
  <c r="E321" i="1"/>
  <c r="I321" i="1"/>
  <c r="J321" i="1"/>
  <c r="A322" i="1"/>
  <c r="B322" i="1"/>
  <c r="C322" i="1"/>
  <c r="D322" i="1"/>
  <c r="I322" i="1"/>
  <c r="J322" i="1"/>
  <c r="A323" i="1"/>
  <c r="B323" i="1"/>
  <c r="C323" i="1"/>
  <c r="D323" i="1"/>
  <c r="E323" i="1" s="1"/>
  <c r="I323" i="1"/>
  <c r="J323" i="1"/>
  <c r="A324" i="1"/>
  <c r="B324" i="1"/>
  <c r="C324" i="1"/>
  <c r="D324" i="1"/>
  <c r="I324" i="1"/>
  <c r="J324" i="1"/>
  <c r="A325" i="1"/>
  <c r="B325" i="1"/>
  <c r="C325" i="1"/>
  <c r="D325" i="1"/>
  <c r="E325" i="1" s="1"/>
  <c r="I325" i="1"/>
  <c r="J325" i="1"/>
  <c r="A326" i="1"/>
  <c r="B326" i="1"/>
  <c r="C326" i="1"/>
  <c r="D326" i="1"/>
  <c r="I326" i="1"/>
  <c r="J326" i="1"/>
  <c r="A327" i="1"/>
  <c r="B327" i="1"/>
  <c r="C327" i="1"/>
  <c r="D327" i="1"/>
  <c r="E327" i="1" s="1"/>
  <c r="I327" i="1"/>
  <c r="J327" i="1"/>
  <c r="A328" i="1"/>
  <c r="B328" i="1"/>
  <c r="C328" i="1"/>
  <c r="D328" i="1"/>
  <c r="I328" i="1"/>
  <c r="J328" i="1"/>
  <c r="A329" i="1"/>
  <c r="B329" i="1"/>
  <c r="C329" i="1"/>
  <c r="D329" i="1"/>
  <c r="E329" i="1"/>
  <c r="I329" i="1"/>
  <c r="J329" i="1"/>
  <c r="A330" i="1"/>
  <c r="B330" i="1"/>
  <c r="C330" i="1"/>
  <c r="E330" i="1"/>
  <c r="I330" i="1"/>
  <c r="J330" i="1"/>
  <c r="A331" i="1"/>
  <c r="B331" i="1"/>
  <c r="C331" i="1"/>
  <c r="E331" i="1"/>
  <c r="I331" i="1"/>
  <c r="J331" i="1"/>
  <c r="A332" i="1"/>
  <c r="B332" i="1"/>
  <c r="C332" i="1"/>
  <c r="E332" i="1"/>
  <c r="I332" i="1"/>
  <c r="J332" i="1"/>
  <c r="A333" i="1"/>
  <c r="B333" i="1"/>
  <c r="C333" i="1"/>
  <c r="E333" i="1"/>
  <c r="I333" i="1"/>
  <c r="J333" i="1"/>
  <c r="A334" i="1"/>
  <c r="B334" i="1"/>
  <c r="C334" i="1"/>
  <c r="E334" i="1"/>
  <c r="I334" i="1"/>
  <c r="J334" i="1"/>
  <c r="A335" i="1"/>
  <c r="B335" i="1"/>
  <c r="C335" i="1"/>
  <c r="E335" i="1"/>
  <c r="I335" i="1"/>
  <c r="J335" i="1"/>
  <c r="A336" i="1"/>
  <c r="B336" i="1"/>
  <c r="C336" i="1"/>
  <c r="E336" i="1"/>
  <c r="I336" i="1"/>
  <c r="J336" i="1"/>
  <c r="A337" i="1"/>
  <c r="B337" i="1"/>
  <c r="C337" i="1"/>
  <c r="E337" i="1"/>
  <c r="I337" i="1"/>
  <c r="J337" i="1"/>
  <c r="A338" i="1"/>
  <c r="B338" i="1"/>
  <c r="C338" i="1"/>
  <c r="E338" i="1"/>
  <c r="I338" i="1"/>
  <c r="J338" i="1"/>
  <c r="A339" i="1"/>
  <c r="B339" i="1"/>
  <c r="C339" i="1"/>
  <c r="E339" i="1"/>
  <c r="I339" i="1"/>
  <c r="J339" i="1"/>
  <c r="A340" i="1"/>
  <c r="B340" i="1"/>
  <c r="C340" i="1"/>
  <c r="E340" i="1"/>
  <c r="I340" i="1"/>
  <c r="J340" i="1"/>
  <c r="A341" i="1"/>
  <c r="B341" i="1"/>
  <c r="C341" i="1"/>
  <c r="D341" i="1"/>
  <c r="E341" i="1" s="1"/>
  <c r="I341" i="1"/>
  <c r="J341" i="1"/>
  <c r="A342" i="1"/>
  <c r="B342" i="1"/>
  <c r="C342" i="1"/>
  <c r="D342" i="1"/>
  <c r="I342" i="1"/>
  <c r="J342" i="1"/>
  <c r="A343" i="1"/>
  <c r="B343" i="1"/>
  <c r="C343" i="1"/>
  <c r="D343" i="1"/>
  <c r="E343" i="1" s="1"/>
  <c r="I343" i="1"/>
  <c r="J343" i="1"/>
  <c r="A344" i="1"/>
  <c r="B344" i="1"/>
  <c r="C344" i="1"/>
  <c r="D344" i="1"/>
  <c r="I344" i="1"/>
  <c r="J344" i="1"/>
  <c r="A345" i="1"/>
  <c r="B345" i="1"/>
  <c r="C345" i="1"/>
  <c r="D345" i="1"/>
  <c r="E345" i="1" s="1"/>
  <c r="I345" i="1"/>
  <c r="J345" i="1"/>
  <c r="A346" i="1"/>
  <c r="B346" i="1"/>
  <c r="C346" i="1"/>
  <c r="D346" i="1"/>
  <c r="I346" i="1"/>
  <c r="J346" i="1"/>
  <c r="A347" i="1"/>
  <c r="B347" i="1"/>
  <c r="C347" i="1"/>
  <c r="D347" i="1"/>
  <c r="E347" i="1"/>
  <c r="I347" i="1"/>
  <c r="J347" i="1"/>
  <c r="A348" i="1"/>
  <c r="B348" i="1"/>
  <c r="C348" i="1"/>
  <c r="D348" i="1"/>
  <c r="I348" i="1"/>
  <c r="J348" i="1"/>
  <c r="A349" i="1"/>
  <c r="B349" i="1"/>
  <c r="C349" i="1"/>
  <c r="E349" i="1"/>
  <c r="I349" i="1"/>
  <c r="J349" i="1"/>
  <c r="A350" i="1"/>
  <c r="B350" i="1"/>
  <c r="C350" i="1"/>
  <c r="E350" i="1"/>
  <c r="I350" i="1"/>
  <c r="J350" i="1"/>
  <c r="A351" i="1"/>
  <c r="B351" i="1"/>
  <c r="C351" i="1"/>
  <c r="E351" i="1"/>
  <c r="I351" i="1"/>
  <c r="J351" i="1"/>
  <c r="A352" i="1"/>
  <c r="B352" i="1"/>
  <c r="C352" i="1"/>
  <c r="E352" i="1"/>
  <c r="I352" i="1"/>
  <c r="J352" i="1"/>
  <c r="A353" i="1"/>
  <c r="B353" i="1"/>
  <c r="C353" i="1"/>
  <c r="E353" i="1"/>
  <c r="I353" i="1"/>
  <c r="J353" i="1"/>
  <c r="A354" i="1"/>
  <c r="B354" i="1"/>
  <c r="C354" i="1"/>
  <c r="E354" i="1"/>
  <c r="I354" i="1"/>
  <c r="J354" i="1"/>
  <c r="A355" i="1"/>
  <c r="B355" i="1"/>
  <c r="C355" i="1"/>
  <c r="E355" i="1"/>
  <c r="I355" i="1"/>
  <c r="J355" i="1"/>
  <c r="A356" i="1"/>
  <c r="B356" i="1"/>
  <c r="C356" i="1"/>
  <c r="E356" i="1"/>
  <c r="I356" i="1"/>
  <c r="J356" i="1"/>
  <c r="A357" i="1"/>
  <c r="B357" i="1"/>
  <c r="C357" i="1"/>
  <c r="E357" i="1"/>
  <c r="I357" i="1"/>
  <c r="J357" i="1"/>
  <c r="A358" i="1"/>
  <c r="B358" i="1"/>
  <c r="C358" i="1"/>
  <c r="D358" i="1"/>
  <c r="E358" i="1" s="1"/>
  <c r="I358" i="1"/>
  <c r="J358" i="1"/>
  <c r="A359" i="1"/>
  <c r="B359" i="1"/>
  <c r="C359" i="1"/>
  <c r="D359" i="1"/>
  <c r="I359" i="1"/>
  <c r="J359" i="1"/>
  <c r="A360" i="1"/>
  <c r="B360" i="1"/>
  <c r="C360" i="1"/>
  <c r="D360" i="1"/>
  <c r="E360" i="1" s="1"/>
  <c r="I360" i="1"/>
  <c r="J360" i="1"/>
  <c r="A361" i="1"/>
  <c r="B361" i="1"/>
  <c r="C361" i="1"/>
  <c r="D361" i="1"/>
  <c r="I361" i="1"/>
  <c r="J361" i="1"/>
  <c r="A362" i="1"/>
  <c r="B362" i="1"/>
  <c r="C362" i="1"/>
  <c r="D362" i="1"/>
  <c r="E362" i="1" s="1"/>
  <c r="I362" i="1"/>
  <c r="J362" i="1"/>
  <c r="A363" i="1"/>
  <c r="B363" i="1"/>
  <c r="C363" i="1"/>
  <c r="D363" i="1"/>
  <c r="I363" i="1"/>
  <c r="J363" i="1"/>
  <c r="A364" i="1"/>
  <c r="B364" i="1"/>
  <c r="C364" i="1"/>
  <c r="D364" i="1"/>
  <c r="E364" i="1"/>
  <c r="I364" i="1"/>
  <c r="J364" i="1"/>
  <c r="A365" i="1"/>
  <c r="B365" i="1"/>
  <c r="C365" i="1"/>
  <c r="D365" i="1"/>
  <c r="I365" i="1"/>
  <c r="A366" i="1"/>
  <c r="B366" i="1"/>
  <c r="C366" i="1"/>
  <c r="D366" i="1"/>
  <c r="I366" i="1"/>
  <c r="J366" i="1"/>
  <c r="A367" i="1"/>
  <c r="B367" i="1"/>
  <c r="C367" i="1"/>
  <c r="D367" i="1"/>
  <c r="E367" i="1"/>
  <c r="I367" i="1"/>
  <c r="J367" i="1"/>
  <c r="A368" i="1"/>
  <c r="B368" i="1"/>
  <c r="C368" i="1"/>
  <c r="D368" i="1"/>
  <c r="I368" i="1"/>
  <c r="J368" i="1"/>
  <c r="A369" i="1"/>
  <c r="B369" i="1"/>
  <c r="C369" i="1"/>
  <c r="D369" i="1"/>
  <c r="E369" i="1" s="1"/>
  <c r="I369" i="1"/>
  <c r="J369" i="1"/>
  <c r="A370" i="1"/>
  <c r="B370" i="1"/>
  <c r="C370" i="1"/>
  <c r="D370" i="1"/>
  <c r="I370" i="1"/>
  <c r="J370" i="1"/>
  <c r="A371" i="1"/>
  <c r="B371" i="1"/>
  <c r="C371" i="1"/>
  <c r="D371" i="1"/>
  <c r="E371" i="1" s="1"/>
  <c r="I371" i="1"/>
  <c r="J371" i="1"/>
  <c r="A372" i="1"/>
  <c r="B372" i="1"/>
  <c r="C372" i="1"/>
  <c r="D372" i="1"/>
  <c r="I372" i="1"/>
  <c r="J372" i="1"/>
  <c r="A373" i="1"/>
  <c r="B373" i="1"/>
  <c r="C373" i="1"/>
  <c r="D373" i="1"/>
  <c r="E373" i="1" s="1"/>
  <c r="I373" i="1"/>
  <c r="J373" i="1"/>
  <c r="A374" i="1"/>
  <c r="B374" i="1"/>
  <c r="C374" i="1"/>
  <c r="D374" i="1"/>
  <c r="I374" i="1"/>
  <c r="J374" i="1"/>
  <c r="A375" i="1"/>
  <c r="B375" i="1"/>
  <c r="C375" i="1"/>
  <c r="D375" i="1"/>
  <c r="E375" i="1" s="1"/>
  <c r="I375" i="1"/>
  <c r="J375" i="1"/>
  <c r="A376" i="1"/>
  <c r="B376" i="1"/>
  <c r="C376" i="1"/>
  <c r="D376" i="1"/>
  <c r="I376" i="1"/>
  <c r="J376" i="1"/>
  <c r="A377" i="1"/>
  <c r="B377" i="1"/>
  <c r="C377" i="1"/>
  <c r="D377" i="1"/>
  <c r="E377" i="1" s="1"/>
  <c r="I377" i="1"/>
  <c r="J377" i="1"/>
  <c r="A378" i="1"/>
  <c r="B378" i="1"/>
  <c r="C378" i="1"/>
  <c r="D378" i="1"/>
  <c r="I378" i="1"/>
  <c r="J378" i="1"/>
  <c r="A379" i="1"/>
  <c r="B379" i="1"/>
  <c r="C379" i="1"/>
  <c r="D379" i="1"/>
  <c r="E379" i="1" s="1"/>
  <c r="I379" i="1"/>
  <c r="J379" i="1"/>
  <c r="A380" i="1"/>
  <c r="B380" i="1"/>
  <c r="C380" i="1"/>
  <c r="D380" i="1"/>
  <c r="I380" i="1"/>
  <c r="J380" i="1"/>
  <c r="A381" i="1"/>
  <c r="B381" i="1"/>
  <c r="C381" i="1"/>
  <c r="D381" i="1"/>
  <c r="E381" i="1" s="1"/>
  <c r="I381" i="1"/>
  <c r="J381" i="1"/>
  <c r="A382" i="1"/>
  <c r="B382" i="1"/>
  <c r="C382" i="1"/>
  <c r="D382" i="1"/>
  <c r="I382" i="1"/>
  <c r="J382" i="1"/>
  <c r="A383" i="1"/>
  <c r="B383" i="1"/>
  <c r="C383" i="1"/>
  <c r="D383" i="1"/>
  <c r="E383" i="1"/>
  <c r="I383" i="1"/>
  <c r="J383" i="1"/>
  <c r="A384" i="1"/>
  <c r="B384" i="1"/>
  <c r="C384" i="1"/>
  <c r="D384" i="1"/>
  <c r="I384" i="1"/>
  <c r="J384" i="1"/>
  <c r="A385" i="1"/>
  <c r="B385" i="1"/>
  <c r="C385" i="1"/>
  <c r="D385" i="1"/>
  <c r="I385" i="1"/>
  <c r="J385" i="1"/>
  <c r="A386" i="1"/>
  <c r="B386" i="1"/>
  <c r="C386" i="1"/>
  <c r="D386" i="1"/>
  <c r="I386" i="1"/>
  <c r="J386" i="1"/>
  <c r="A387" i="1"/>
  <c r="B387" i="1"/>
  <c r="C387" i="1"/>
  <c r="D387" i="1"/>
  <c r="I387" i="1"/>
  <c r="J387" i="1"/>
  <c r="A388" i="1"/>
  <c r="B388" i="1"/>
  <c r="C388" i="1"/>
  <c r="D388" i="1"/>
  <c r="E388" i="1" s="1"/>
  <c r="I388" i="1"/>
  <c r="J388" i="1"/>
  <c r="A389" i="1"/>
  <c r="B389" i="1"/>
  <c r="C389" i="1"/>
  <c r="D389" i="1"/>
  <c r="I389" i="1"/>
  <c r="J389" i="1"/>
  <c r="A390" i="1"/>
  <c r="B390" i="1"/>
  <c r="C390" i="1"/>
  <c r="D390" i="1"/>
  <c r="I390" i="1"/>
  <c r="J390" i="1"/>
  <c r="A391" i="1"/>
  <c r="B391" i="1"/>
  <c r="C391" i="1"/>
  <c r="D391" i="1"/>
  <c r="I391" i="1"/>
  <c r="J391" i="1"/>
  <c r="A392" i="1"/>
  <c r="B392" i="1"/>
  <c r="C392" i="1"/>
  <c r="D392" i="1"/>
  <c r="I392" i="1"/>
  <c r="J392" i="1"/>
  <c r="A393" i="1"/>
  <c r="B393" i="1"/>
  <c r="C393" i="1"/>
  <c r="D393" i="1"/>
  <c r="I393" i="1"/>
  <c r="J393" i="1"/>
  <c r="A394" i="1"/>
  <c r="B394" i="1"/>
  <c r="C394" i="1"/>
  <c r="D394" i="1"/>
  <c r="I394" i="1"/>
  <c r="J394" i="1"/>
  <c r="A395" i="1"/>
  <c r="B395" i="1"/>
  <c r="C395" i="1"/>
  <c r="D395" i="1"/>
  <c r="I395" i="1"/>
  <c r="J395" i="1"/>
  <c r="A396" i="1"/>
  <c r="B396" i="1"/>
  <c r="C396" i="1"/>
  <c r="D396" i="1"/>
  <c r="I396" i="1"/>
  <c r="J396" i="1"/>
  <c r="A397" i="1"/>
  <c r="B397" i="1"/>
  <c r="C397" i="1"/>
  <c r="D397" i="1"/>
  <c r="I397" i="1"/>
  <c r="J397" i="1"/>
  <c r="A398" i="1"/>
  <c r="B398" i="1"/>
  <c r="C398" i="1"/>
  <c r="D398" i="1"/>
  <c r="I398" i="1"/>
  <c r="J398" i="1"/>
  <c r="A399" i="1"/>
  <c r="B399" i="1"/>
  <c r="C399" i="1"/>
  <c r="D399" i="1"/>
  <c r="I399" i="1"/>
  <c r="J399" i="1"/>
  <c r="A400" i="1"/>
  <c r="B400" i="1"/>
  <c r="C400" i="1"/>
  <c r="D400" i="1"/>
  <c r="I400" i="1"/>
  <c r="J400" i="1"/>
  <c r="A401" i="1"/>
  <c r="B401" i="1"/>
  <c r="C401" i="1"/>
  <c r="D401" i="1"/>
  <c r="I401" i="1"/>
  <c r="J401" i="1"/>
  <c r="A402" i="1"/>
  <c r="B402" i="1"/>
  <c r="C402" i="1"/>
  <c r="D402" i="1"/>
  <c r="I402" i="1"/>
  <c r="J402" i="1"/>
  <c r="A403" i="1"/>
  <c r="B403" i="1"/>
  <c r="C403" i="1"/>
  <c r="D403" i="1"/>
  <c r="I403" i="1"/>
  <c r="J403" i="1"/>
  <c r="A404" i="1"/>
  <c r="B404" i="1"/>
  <c r="C404" i="1"/>
  <c r="D404" i="1"/>
  <c r="I404" i="1"/>
  <c r="J404" i="1"/>
  <c r="A405" i="1"/>
  <c r="B405" i="1"/>
  <c r="C405" i="1"/>
  <c r="D405" i="1"/>
  <c r="I405" i="1"/>
  <c r="J405" i="1"/>
  <c r="A406" i="1"/>
  <c r="B406" i="1"/>
  <c r="C406" i="1"/>
  <c r="D406" i="1"/>
  <c r="I406" i="1"/>
  <c r="J406" i="1"/>
  <c r="A407" i="1"/>
  <c r="B407" i="1"/>
  <c r="C407" i="1"/>
  <c r="D407" i="1"/>
  <c r="I407" i="1"/>
  <c r="J407" i="1"/>
  <c r="A408" i="1"/>
  <c r="B408" i="1"/>
  <c r="C408" i="1"/>
  <c r="D408" i="1"/>
  <c r="I408" i="1"/>
  <c r="J408" i="1"/>
  <c r="A409" i="1"/>
  <c r="B409" i="1"/>
  <c r="C409" i="1"/>
  <c r="D409" i="1"/>
  <c r="I409" i="1"/>
  <c r="J409" i="1"/>
  <c r="A410" i="1"/>
  <c r="B410" i="1"/>
  <c r="C410" i="1"/>
  <c r="D410" i="1"/>
  <c r="I410" i="1"/>
  <c r="J410" i="1"/>
  <c r="A411" i="1"/>
  <c r="B411" i="1"/>
  <c r="C411" i="1"/>
  <c r="D411" i="1"/>
  <c r="I411" i="1"/>
  <c r="J411" i="1"/>
  <c r="A412" i="1"/>
  <c r="B412" i="1"/>
  <c r="C412" i="1"/>
  <c r="D412" i="1"/>
  <c r="I412" i="1"/>
  <c r="J412" i="1"/>
  <c r="A413" i="1"/>
  <c r="B413" i="1"/>
  <c r="C413" i="1"/>
  <c r="D413" i="1"/>
  <c r="I413" i="1"/>
  <c r="J413" i="1"/>
  <c r="A414" i="1"/>
  <c r="B414" i="1"/>
  <c r="C414" i="1"/>
  <c r="D414" i="1"/>
  <c r="I414" i="1"/>
  <c r="J414" i="1"/>
  <c r="A415" i="1"/>
  <c r="B415" i="1"/>
  <c r="C415" i="1"/>
  <c r="D415" i="1"/>
  <c r="I415" i="1"/>
  <c r="J415" i="1"/>
  <c r="A416" i="1"/>
  <c r="B416" i="1"/>
  <c r="C416" i="1"/>
  <c r="D416" i="1"/>
  <c r="I416" i="1"/>
  <c r="J416" i="1"/>
  <c r="A417" i="1"/>
  <c r="B417" i="1"/>
  <c r="C417" i="1"/>
  <c r="D417" i="1"/>
  <c r="I417" i="1"/>
  <c r="J417" i="1"/>
  <c r="A418" i="1"/>
  <c r="B418" i="1"/>
  <c r="C418" i="1"/>
  <c r="D418" i="1"/>
  <c r="I418" i="1"/>
  <c r="J418" i="1"/>
  <c r="A419" i="1"/>
  <c r="B419" i="1"/>
  <c r="C419" i="1"/>
  <c r="D419" i="1"/>
  <c r="I419" i="1"/>
  <c r="J419" i="1"/>
  <c r="A420" i="1"/>
  <c r="B420" i="1"/>
  <c r="C420" i="1"/>
  <c r="D420" i="1"/>
  <c r="I420" i="1"/>
  <c r="J420" i="1"/>
  <c r="A421" i="1"/>
  <c r="B421" i="1"/>
  <c r="C421" i="1"/>
  <c r="D421" i="1"/>
  <c r="I421" i="1"/>
  <c r="J421" i="1"/>
  <c r="A422" i="1"/>
  <c r="B422" i="1"/>
  <c r="C422" i="1"/>
  <c r="D422" i="1"/>
  <c r="I422" i="1"/>
  <c r="J422" i="1"/>
  <c r="A423" i="1"/>
  <c r="B423" i="1"/>
  <c r="C423" i="1"/>
  <c r="D423" i="1"/>
  <c r="I423" i="1"/>
  <c r="J423" i="1"/>
  <c r="A424" i="1"/>
  <c r="B424" i="1"/>
  <c r="C424" i="1"/>
  <c r="D424" i="1"/>
  <c r="I424" i="1"/>
  <c r="J424" i="1"/>
  <c r="A425" i="1"/>
  <c r="B425" i="1"/>
  <c r="C425" i="1"/>
  <c r="D425" i="1"/>
  <c r="I425" i="1"/>
  <c r="J425" i="1"/>
  <c r="A426" i="1"/>
  <c r="B426" i="1"/>
  <c r="C426" i="1"/>
  <c r="E426" i="1"/>
  <c r="I426" i="1"/>
  <c r="J426" i="1"/>
  <c r="A427" i="1"/>
  <c r="B427" i="1"/>
  <c r="C427" i="1"/>
  <c r="E427" i="1"/>
  <c r="I427" i="1"/>
  <c r="J427" i="1"/>
  <c r="A428" i="1"/>
  <c r="B428" i="1"/>
  <c r="C428" i="1"/>
  <c r="E428" i="1"/>
  <c r="I428" i="1"/>
  <c r="J428" i="1"/>
  <c r="A429" i="1"/>
  <c r="B429" i="1"/>
  <c r="C429" i="1"/>
  <c r="E429" i="1"/>
  <c r="I429" i="1"/>
  <c r="J429" i="1"/>
  <c r="A430" i="1"/>
  <c r="B430" i="1"/>
  <c r="C430" i="1"/>
  <c r="E430" i="1"/>
  <c r="I430" i="1"/>
  <c r="J430" i="1"/>
  <c r="A431" i="1"/>
  <c r="B431" i="1"/>
  <c r="C431" i="1"/>
  <c r="E431" i="1"/>
  <c r="I431" i="1"/>
  <c r="J431" i="1"/>
  <c r="A432" i="1"/>
  <c r="B432" i="1"/>
  <c r="C432" i="1"/>
  <c r="E432" i="1"/>
  <c r="I432" i="1"/>
  <c r="J432" i="1"/>
  <c r="A433" i="1"/>
  <c r="B433" i="1"/>
  <c r="C433" i="1"/>
  <c r="E433" i="1"/>
  <c r="I433" i="1"/>
  <c r="J433" i="1"/>
  <c r="A434" i="1"/>
  <c r="B434" i="1"/>
  <c r="C434" i="1"/>
  <c r="D434" i="1"/>
  <c r="I434" i="1"/>
  <c r="J434" i="1"/>
  <c r="A435" i="1"/>
  <c r="B435" i="1"/>
  <c r="C435" i="1"/>
  <c r="D435" i="1"/>
  <c r="E435" i="1" s="1"/>
  <c r="I435" i="1"/>
  <c r="J435" i="1"/>
  <c r="A436" i="1"/>
  <c r="B436" i="1"/>
  <c r="C436" i="1"/>
  <c r="D436" i="1"/>
  <c r="E436" i="1"/>
  <c r="I436" i="1"/>
  <c r="J436" i="1"/>
  <c r="A437" i="1"/>
  <c r="B437" i="1"/>
  <c r="C437" i="1"/>
  <c r="D437" i="1"/>
  <c r="E437" i="1" s="1"/>
  <c r="I437" i="1"/>
  <c r="J437" i="1"/>
  <c r="A438" i="1"/>
  <c r="B438" i="1"/>
  <c r="C438" i="1"/>
  <c r="D438" i="1"/>
  <c r="I438" i="1"/>
  <c r="J438" i="1"/>
  <c r="A439" i="1"/>
  <c r="B439" i="1"/>
  <c r="C439" i="1"/>
  <c r="D439" i="1"/>
  <c r="E439" i="1"/>
  <c r="I439" i="1"/>
  <c r="J439" i="1"/>
  <c r="A440" i="1"/>
  <c r="B440" i="1"/>
  <c r="C440" i="1"/>
  <c r="D440" i="1"/>
  <c r="I440" i="1"/>
  <c r="J440" i="1"/>
  <c r="A441" i="1"/>
  <c r="B441" i="1"/>
  <c r="C441" i="1"/>
  <c r="D441" i="1"/>
  <c r="I441" i="1"/>
  <c r="J441" i="1"/>
  <c r="A442" i="1"/>
  <c r="B442" i="1"/>
  <c r="C442" i="1"/>
  <c r="D442" i="1"/>
  <c r="E442" i="1" s="1"/>
  <c r="I442" i="1"/>
  <c r="J442" i="1"/>
  <c r="A443" i="1"/>
  <c r="B443" i="1"/>
  <c r="C443" i="1"/>
  <c r="D443" i="1"/>
  <c r="I443" i="1"/>
  <c r="J443" i="1"/>
  <c r="A444" i="1"/>
  <c r="B444" i="1"/>
  <c r="C444" i="1"/>
  <c r="D444" i="1"/>
  <c r="E444" i="1"/>
  <c r="I444" i="1"/>
  <c r="J444" i="1"/>
  <c r="A445" i="1"/>
  <c r="B445" i="1"/>
  <c r="C445" i="1"/>
  <c r="D445" i="1"/>
  <c r="I445" i="1"/>
  <c r="J445" i="1"/>
  <c r="A446" i="1"/>
  <c r="B446" i="1"/>
  <c r="C446" i="1"/>
  <c r="D446" i="1"/>
  <c r="E446" i="1" s="1"/>
  <c r="I446" i="1"/>
  <c r="J446" i="1"/>
  <c r="A447" i="1"/>
  <c r="B447" i="1"/>
  <c r="C447" i="1"/>
  <c r="D447" i="1"/>
  <c r="I447" i="1"/>
  <c r="J447" i="1"/>
  <c r="A448" i="1"/>
  <c r="B448" i="1"/>
  <c r="C448" i="1"/>
  <c r="D448" i="1"/>
  <c r="E448" i="1" s="1"/>
  <c r="I448" i="1"/>
  <c r="J448" i="1"/>
  <c r="A449" i="1"/>
  <c r="B449" i="1"/>
  <c r="C449" i="1"/>
  <c r="D449" i="1"/>
  <c r="I449" i="1"/>
  <c r="J449" i="1"/>
  <c r="A450" i="1"/>
  <c r="B450" i="1"/>
  <c r="C450" i="1"/>
  <c r="D450" i="1"/>
  <c r="E450" i="1"/>
  <c r="I450" i="1"/>
  <c r="J450" i="1"/>
  <c r="A451" i="1"/>
  <c r="B451" i="1"/>
  <c r="C451" i="1"/>
  <c r="D451" i="1"/>
  <c r="I451" i="1"/>
  <c r="J451" i="1"/>
  <c r="A452" i="1"/>
  <c r="B452" i="1"/>
  <c r="C452" i="1"/>
  <c r="D452" i="1"/>
  <c r="E452" i="1" s="1"/>
  <c r="I452" i="1"/>
  <c r="J452" i="1"/>
  <c r="A453" i="1"/>
  <c r="B453" i="1"/>
  <c r="C453" i="1"/>
  <c r="D453" i="1"/>
  <c r="I453" i="1"/>
  <c r="J453" i="1"/>
  <c r="A454" i="1"/>
  <c r="B454" i="1"/>
  <c r="C454" i="1"/>
  <c r="D454" i="1"/>
  <c r="E454" i="1"/>
  <c r="I454" i="1"/>
  <c r="J454" i="1"/>
  <c r="A455" i="1"/>
  <c r="B455" i="1"/>
  <c r="C455" i="1"/>
  <c r="D455" i="1"/>
  <c r="I455" i="1"/>
  <c r="J455" i="1"/>
  <c r="A456" i="1"/>
  <c r="B456" i="1"/>
  <c r="C456" i="1"/>
  <c r="D456" i="1"/>
  <c r="E456" i="1" s="1"/>
  <c r="I456" i="1"/>
  <c r="J456" i="1"/>
  <c r="A457" i="1"/>
  <c r="B457" i="1"/>
  <c r="C457" i="1"/>
  <c r="D457" i="1"/>
  <c r="I457" i="1"/>
  <c r="J457" i="1"/>
  <c r="A458" i="1"/>
  <c r="B458" i="1"/>
  <c r="C458" i="1"/>
  <c r="D458" i="1"/>
  <c r="E458" i="1" s="1"/>
  <c r="I458" i="1"/>
  <c r="J458" i="1"/>
  <c r="A459" i="1"/>
  <c r="B459" i="1"/>
  <c r="C459" i="1"/>
  <c r="D459" i="1"/>
  <c r="I459" i="1"/>
  <c r="J459" i="1"/>
  <c r="A460" i="1"/>
  <c r="B460" i="1"/>
  <c r="C460" i="1"/>
  <c r="D460" i="1"/>
  <c r="E460" i="1"/>
  <c r="I460" i="1"/>
  <c r="J460" i="1"/>
  <c r="A461" i="1"/>
  <c r="B461" i="1"/>
  <c r="C461" i="1"/>
  <c r="D461" i="1"/>
  <c r="I461" i="1"/>
  <c r="J461" i="1"/>
  <c r="A462" i="1"/>
  <c r="B462" i="1"/>
  <c r="C462" i="1"/>
  <c r="D462" i="1"/>
  <c r="E462" i="1" s="1"/>
  <c r="I462" i="1"/>
  <c r="J462" i="1"/>
  <c r="A463" i="1"/>
  <c r="B463" i="1"/>
  <c r="C463" i="1"/>
  <c r="D463" i="1"/>
  <c r="I463" i="1"/>
  <c r="J463" i="1"/>
  <c r="A464" i="1"/>
  <c r="B464" i="1"/>
  <c r="C464" i="1"/>
  <c r="D464" i="1"/>
  <c r="E464" i="1" s="1"/>
  <c r="I464" i="1"/>
  <c r="J464" i="1"/>
  <c r="A465" i="1"/>
  <c r="B465" i="1"/>
  <c r="C465" i="1"/>
  <c r="D465" i="1"/>
  <c r="I465" i="1"/>
  <c r="J465" i="1"/>
  <c r="A466" i="1"/>
  <c r="B466" i="1"/>
  <c r="C466" i="1"/>
  <c r="D466" i="1"/>
  <c r="E466" i="1"/>
  <c r="I466" i="1"/>
  <c r="J466" i="1"/>
  <c r="A467" i="1"/>
  <c r="B467" i="1"/>
  <c r="C467" i="1"/>
  <c r="D467" i="1"/>
  <c r="I467" i="1"/>
  <c r="J467" i="1"/>
  <c r="A468" i="1"/>
  <c r="B468" i="1"/>
  <c r="C468" i="1"/>
  <c r="D468" i="1"/>
  <c r="E468" i="1" s="1"/>
  <c r="I468" i="1"/>
  <c r="J468" i="1"/>
  <c r="A469" i="1"/>
  <c r="B469" i="1"/>
  <c r="C469" i="1"/>
  <c r="D469" i="1"/>
  <c r="I469" i="1"/>
  <c r="J469" i="1"/>
  <c r="A470" i="1"/>
  <c r="B470" i="1"/>
  <c r="C470" i="1"/>
  <c r="D470" i="1"/>
  <c r="E470" i="1"/>
  <c r="I470" i="1"/>
  <c r="J470" i="1"/>
  <c r="A471" i="1"/>
  <c r="B471" i="1"/>
  <c r="C471" i="1"/>
  <c r="D471" i="1"/>
  <c r="I471" i="1"/>
  <c r="J471" i="1"/>
  <c r="A472" i="1"/>
  <c r="B472" i="1"/>
  <c r="C472" i="1"/>
  <c r="D472" i="1"/>
  <c r="E472" i="1" s="1"/>
  <c r="I472" i="1"/>
  <c r="J472" i="1"/>
  <c r="A473" i="1"/>
  <c r="B473" i="1"/>
  <c r="C473" i="1"/>
  <c r="D473" i="1"/>
  <c r="I473" i="1"/>
  <c r="J473" i="1"/>
  <c r="A474" i="1"/>
  <c r="B474" i="1"/>
  <c r="C474" i="1"/>
  <c r="D474" i="1"/>
  <c r="E474" i="1" s="1"/>
  <c r="I474" i="1"/>
  <c r="J474" i="1"/>
  <c r="A475" i="1"/>
  <c r="B475" i="1"/>
  <c r="C475" i="1"/>
  <c r="D475" i="1"/>
  <c r="I475" i="1"/>
  <c r="J475" i="1"/>
  <c r="A476" i="1"/>
  <c r="B476" i="1"/>
  <c r="C476" i="1"/>
  <c r="D476" i="1"/>
  <c r="E476" i="1"/>
  <c r="I476" i="1"/>
  <c r="J476" i="1"/>
  <c r="A477" i="1"/>
  <c r="B477" i="1"/>
  <c r="C477" i="1"/>
  <c r="D477" i="1"/>
  <c r="I477" i="1"/>
  <c r="J477" i="1"/>
  <c r="A478" i="1"/>
  <c r="B478" i="1"/>
  <c r="C478" i="1"/>
  <c r="D478" i="1"/>
  <c r="E478" i="1" s="1"/>
  <c r="I478" i="1"/>
  <c r="J478" i="1"/>
  <c r="A479" i="1"/>
  <c r="B479" i="1"/>
  <c r="C479" i="1"/>
  <c r="D479" i="1"/>
  <c r="I479" i="1"/>
  <c r="J479" i="1"/>
  <c r="A480" i="1"/>
  <c r="B480" i="1"/>
  <c r="C480" i="1"/>
  <c r="D480" i="1"/>
  <c r="E480" i="1" s="1"/>
  <c r="I480" i="1"/>
  <c r="J480" i="1"/>
  <c r="A481" i="1"/>
  <c r="B481" i="1"/>
  <c r="C481" i="1"/>
  <c r="D481" i="1"/>
  <c r="I481" i="1"/>
  <c r="J481" i="1"/>
  <c r="A482" i="1"/>
  <c r="B482" i="1"/>
  <c r="C482" i="1"/>
  <c r="D482" i="1"/>
  <c r="E482" i="1"/>
  <c r="I482" i="1"/>
  <c r="J482" i="1"/>
  <c r="A483" i="1"/>
  <c r="B483" i="1"/>
  <c r="C483" i="1"/>
  <c r="D483" i="1"/>
  <c r="I483" i="1"/>
  <c r="J483" i="1"/>
  <c r="A484" i="1"/>
  <c r="B484" i="1"/>
  <c r="C484" i="1"/>
  <c r="D484" i="1"/>
  <c r="E484" i="1" s="1"/>
  <c r="I484" i="1"/>
  <c r="J484" i="1"/>
  <c r="A485" i="1"/>
  <c r="B485" i="1"/>
  <c r="C485" i="1"/>
  <c r="D485" i="1"/>
  <c r="I485" i="1"/>
  <c r="J485" i="1"/>
  <c r="A486" i="1"/>
  <c r="B486" i="1"/>
  <c r="C486" i="1"/>
  <c r="D486" i="1"/>
  <c r="E486" i="1"/>
  <c r="I486" i="1"/>
  <c r="J486" i="1"/>
  <c r="A487" i="1"/>
  <c r="B487" i="1"/>
  <c r="C487" i="1"/>
  <c r="D487" i="1"/>
  <c r="I487" i="1"/>
  <c r="J487" i="1"/>
  <c r="A488" i="1"/>
  <c r="B488" i="1"/>
  <c r="C488" i="1"/>
  <c r="D488" i="1"/>
  <c r="E488" i="1" s="1"/>
  <c r="I488" i="1"/>
  <c r="J488" i="1"/>
  <c r="A489" i="1"/>
  <c r="B489" i="1"/>
  <c r="C489" i="1"/>
  <c r="D489" i="1"/>
  <c r="I489" i="1"/>
  <c r="J489" i="1"/>
  <c r="A490" i="1"/>
  <c r="B490" i="1"/>
  <c r="C490" i="1"/>
  <c r="D490" i="1"/>
  <c r="E490" i="1" s="1"/>
  <c r="I490" i="1"/>
  <c r="J490" i="1"/>
  <c r="A491" i="1"/>
  <c r="B491" i="1"/>
  <c r="C491" i="1"/>
  <c r="D491" i="1"/>
  <c r="I491" i="1"/>
  <c r="J491" i="1"/>
  <c r="A492" i="1"/>
  <c r="B492" i="1"/>
  <c r="C492" i="1"/>
  <c r="E492" i="1"/>
  <c r="I492" i="1"/>
  <c r="J492" i="1"/>
  <c r="A493" i="1"/>
  <c r="B493" i="1"/>
  <c r="C493" i="1"/>
  <c r="E493" i="1"/>
  <c r="I493" i="1"/>
  <c r="J493" i="1"/>
  <c r="A494" i="1"/>
  <c r="B494" i="1"/>
  <c r="C494" i="1"/>
  <c r="E494" i="1"/>
  <c r="I494" i="1"/>
  <c r="J494" i="1"/>
  <c r="A495" i="1"/>
  <c r="B495" i="1"/>
  <c r="C495" i="1"/>
  <c r="E495" i="1"/>
  <c r="I495" i="1"/>
  <c r="J495" i="1"/>
  <c r="A496" i="1"/>
  <c r="B496" i="1"/>
  <c r="C496" i="1"/>
  <c r="E496" i="1"/>
  <c r="I496" i="1"/>
  <c r="J496" i="1"/>
  <c r="A497" i="1"/>
  <c r="B497" i="1"/>
  <c r="C497" i="1"/>
  <c r="E497" i="1"/>
  <c r="I497" i="1"/>
  <c r="J497" i="1"/>
  <c r="A498" i="1"/>
  <c r="B498" i="1"/>
  <c r="C498" i="1"/>
  <c r="E498" i="1"/>
  <c r="I498" i="1"/>
  <c r="J498" i="1"/>
  <c r="A499" i="1"/>
  <c r="B499" i="1"/>
  <c r="C499" i="1"/>
  <c r="E499" i="1"/>
  <c r="I499" i="1"/>
  <c r="J499" i="1"/>
  <c r="A500" i="1"/>
  <c r="B500" i="1"/>
  <c r="C500" i="1"/>
  <c r="E500" i="1"/>
  <c r="I500" i="1"/>
  <c r="J500" i="1"/>
  <c r="A501" i="1"/>
  <c r="B501" i="1"/>
  <c r="C501" i="1"/>
  <c r="E501" i="1"/>
  <c r="I501" i="1"/>
  <c r="J501" i="1"/>
  <c r="A502" i="1"/>
  <c r="B502" i="1"/>
  <c r="C502" i="1"/>
  <c r="E502" i="1"/>
  <c r="I502" i="1"/>
  <c r="J502" i="1"/>
  <c r="A503" i="1"/>
  <c r="B503" i="1"/>
  <c r="C503" i="1"/>
  <c r="D503" i="1"/>
  <c r="I503" i="1"/>
  <c r="J503" i="1"/>
  <c r="A504" i="1"/>
  <c r="B504" i="1"/>
  <c r="C504" i="1"/>
  <c r="D504" i="1"/>
  <c r="I504" i="1"/>
  <c r="J504" i="1"/>
  <c r="A505" i="1"/>
  <c r="B505" i="1"/>
  <c r="C505" i="1"/>
  <c r="D505" i="1"/>
  <c r="I505" i="1"/>
  <c r="J505" i="1"/>
  <c r="A506" i="1"/>
  <c r="B506" i="1"/>
  <c r="C506" i="1"/>
  <c r="D506" i="1"/>
  <c r="I506" i="1"/>
  <c r="J506" i="1"/>
  <c r="A507" i="1"/>
  <c r="B507" i="1"/>
  <c r="C507" i="1"/>
  <c r="D507" i="1"/>
  <c r="I507" i="1"/>
  <c r="J507" i="1"/>
  <c r="A508" i="1"/>
  <c r="B508" i="1"/>
  <c r="C508" i="1"/>
  <c r="E508" i="1"/>
  <c r="I508" i="1"/>
  <c r="J508" i="1"/>
  <c r="A509" i="1"/>
  <c r="B509" i="1"/>
  <c r="C509" i="1"/>
  <c r="E509" i="1"/>
  <c r="I509" i="1"/>
  <c r="J509" i="1"/>
  <c r="A510" i="1"/>
  <c r="B510" i="1"/>
  <c r="C510" i="1"/>
  <c r="E510" i="1"/>
  <c r="I510" i="1"/>
  <c r="J510" i="1"/>
  <c r="A511" i="1"/>
  <c r="B511" i="1"/>
  <c r="C511" i="1"/>
  <c r="E511" i="1"/>
  <c r="I511" i="1"/>
  <c r="J511" i="1"/>
  <c r="A512" i="1"/>
  <c r="B512" i="1"/>
  <c r="C512" i="1"/>
  <c r="E512" i="1"/>
  <c r="I512" i="1"/>
  <c r="J512" i="1"/>
  <c r="A513" i="1"/>
  <c r="B513" i="1"/>
  <c r="C513" i="1"/>
  <c r="E513" i="1"/>
  <c r="I513" i="1"/>
  <c r="J513" i="1"/>
  <c r="A514" i="1"/>
  <c r="B514" i="1"/>
  <c r="C514" i="1"/>
  <c r="E514" i="1"/>
  <c r="I514" i="1"/>
  <c r="J514" i="1"/>
  <c r="A515" i="1"/>
  <c r="B515" i="1"/>
  <c r="C515" i="1"/>
  <c r="E515" i="1"/>
  <c r="I515" i="1"/>
  <c r="J515" i="1"/>
  <c r="A516" i="1"/>
  <c r="B516" i="1"/>
  <c r="C516" i="1"/>
  <c r="E516" i="1"/>
  <c r="I516" i="1"/>
  <c r="J516" i="1"/>
  <c r="A517" i="1"/>
  <c r="B517" i="1"/>
  <c r="C517" i="1"/>
  <c r="D517" i="1"/>
  <c r="E517" i="1" s="1"/>
  <c r="I517" i="1"/>
  <c r="J517" i="1"/>
  <c r="A518" i="1"/>
  <c r="B518" i="1"/>
  <c r="C518" i="1"/>
  <c r="D518" i="1"/>
  <c r="I518" i="1"/>
  <c r="J518" i="1"/>
  <c r="A519" i="1"/>
  <c r="B519" i="1"/>
  <c r="C519" i="1"/>
  <c r="D519" i="1"/>
  <c r="E519" i="1"/>
  <c r="I519" i="1"/>
  <c r="J519" i="1"/>
  <c r="A520" i="1"/>
  <c r="B520" i="1"/>
  <c r="C520" i="1"/>
  <c r="D520" i="1"/>
  <c r="I520" i="1"/>
  <c r="J520" i="1"/>
  <c r="A521" i="1"/>
  <c r="B521" i="1"/>
  <c r="C521" i="1"/>
  <c r="D521" i="1"/>
  <c r="E521" i="1" s="1"/>
  <c r="I521" i="1"/>
  <c r="J521" i="1"/>
  <c r="A522" i="1"/>
  <c r="B522" i="1"/>
  <c r="C522" i="1"/>
  <c r="D522" i="1"/>
  <c r="I522" i="1"/>
  <c r="J522" i="1"/>
  <c r="A523" i="1"/>
  <c r="B523" i="1"/>
  <c r="C523" i="1"/>
  <c r="D523" i="1"/>
  <c r="E523" i="1" s="1"/>
  <c r="I523" i="1"/>
  <c r="J523" i="1"/>
  <c r="A524" i="1"/>
  <c r="B524" i="1"/>
  <c r="C524" i="1"/>
  <c r="D524" i="1"/>
  <c r="I524" i="1"/>
  <c r="J524" i="1"/>
  <c r="A525" i="1"/>
  <c r="B525" i="1"/>
  <c r="C525" i="1"/>
  <c r="D525" i="1"/>
  <c r="E525" i="1" s="1"/>
  <c r="I525" i="1"/>
  <c r="J525" i="1"/>
  <c r="A526" i="1"/>
  <c r="B526" i="1"/>
  <c r="C526" i="1"/>
  <c r="D526" i="1"/>
  <c r="I526" i="1"/>
  <c r="J526" i="1"/>
  <c r="A527" i="1"/>
  <c r="B527" i="1"/>
  <c r="C527" i="1"/>
  <c r="D527" i="1"/>
  <c r="E527" i="1"/>
  <c r="I527" i="1"/>
  <c r="J527" i="1"/>
  <c r="A528" i="1"/>
  <c r="B528" i="1"/>
  <c r="C528" i="1"/>
  <c r="D528" i="1"/>
  <c r="I528" i="1"/>
  <c r="J528" i="1"/>
  <c r="A529" i="1"/>
  <c r="B529" i="1"/>
  <c r="C529" i="1"/>
  <c r="D529" i="1"/>
  <c r="E529" i="1"/>
  <c r="I529" i="1"/>
  <c r="J529" i="1"/>
  <c r="A530" i="1"/>
  <c r="B530" i="1"/>
  <c r="C530" i="1"/>
  <c r="D530" i="1"/>
  <c r="I530" i="1"/>
  <c r="J530" i="1"/>
  <c r="A531" i="1"/>
  <c r="B531" i="1"/>
  <c r="C531" i="1"/>
  <c r="D531" i="1"/>
  <c r="E531" i="1"/>
  <c r="I531" i="1"/>
  <c r="J531" i="1"/>
  <c r="A532" i="1"/>
  <c r="B532" i="1"/>
  <c r="C532" i="1"/>
  <c r="D532" i="1"/>
  <c r="I532" i="1"/>
  <c r="J532" i="1"/>
  <c r="A533" i="1"/>
  <c r="B533" i="1"/>
  <c r="C533" i="1"/>
  <c r="D533" i="1"/>
  <c r="E533" i="1" s="1"/>
  <c r="I533" i="1"/>
  <c r="J533" i="1"/>
  <c r="A534" i="1"/>
  <c r="B534" i="1"/>
  <c r="C534" i="1"/>
  <c r="D534" i="1"/>
  <c r="I534" i="1"/>
  <c r="J534" i="1"/>
  <c r="A535" i="1"/>
  <c r="B535" i="1"/>
  <c r="C535" i="1"/>
  <c r="D535" i="1"/>
  <c r="E535" i="1" s="1"/>
  <c r="I535" i="1"/>
  <c r="J535" i="1"/>
  <c r="A536" i="1"/>
  <c r="B536" i="1"/>
  <c r="C536" i="1"/>
  <c r="D536" i="1"/>
  <c r="I536" i="1"/>
  <c r="J536" i="1"/>
  <c r="A537" i="1"/>
  <c r="B537" i="1"/>
  <c r="C537" i="1"/>
  <c r="D537" i="1"/>
  <c r="E537" i="1" s="1"/>
  <c r="I537" i="1"/>
  <c r="J537" i="1"/>
  <c r="A538" i="1"/>
  <c r="B538" i="1"/>
  <c r="C538" i="1"/>
  <c r="D538" i="1"/>
  <c r="I538" i="1"/>
  <c r="J538" i="1"/>
  <c r="A539" i="1"/>
  <c r="B539" i="1"/>
  <c r="C539" i="1"/>
  <c r="D539" i="1"/>
  <c r="E539" i="1" s="1"/>
  <c r="I539" i="1"/>
  <c r="J539" i="1"/>
  <c r="A540" i="1"/>
  <c r="B540" i="1"/>
  <c r="C540" i="1"/>
  <c r="D540" i="1"/>
  <c r="I540" i="1"/>
  <c r="J540" i="1"/>
  <c r="A541" i="1"/>
  <c r="B541" i="1"/>
  <c r="C541" i="1"/>
  <c r="D541" i="1"/>
  <c r="E541" i="1" s="1"/>
  <c r="I541" i="1"/>
  <c r="J541" i="1"/>
  <c r="A542" i="1"/>
  <c r="B542" i="1"/>
  <c r="C542" i="1"/>
  <c r="D542" i="1"/>
  <c r="I542" i="1"/>
  <c r="J542" i="1"/>
  <c r="A543" i="1"/>
  <c r="B543" i="1"/>
  <c r="C543" i="1"/>
  <c r="D543" i="1"/>
  <c r="E543" i="1"/>
  <c r="I543" i="1"/>
  <c r="J543" i="1"/>
  <c r="A544" i="1"/>
  <c r="B544" i="1"/>
  <c r="C544" i="1"/>
  <c r="D544" i="1"/>
  <c r="I544" i="1"/>
  <c r="J544" i="1"/>
  <c r="A545" i="1"/>
  <c r="B545" i="1"/>
  <c r="C545" i="1"/>
  <c r="D545" i="1"/>
  <c r="E545" i="1"/>
  <c r="I545" i="1"/>
  <c r="J545" i="1"/>
  <c r="A546" i="1"/>
  <c r="B546" i="1"/>
  <c r="C546" i="1"/>
  <c r="D546" i="1"/>
  <c r="I546" i="1"/>
  <c r="J546" i="1"/>
  <c r="A547" i="1"/>
  <c r="B547" i="1"/>
  <c r="C547" i="1"/>
  <c r="D547" i="1"/>
  <c r="E547" i="1" s="1"/>
  <c r="I547" i="1"/>
  <c r="J547" i="1"/>
  <c r="A548" i="1"/>
  <c r="B548" i="1"/>
  <c r="C548" i="1"/>
  <c r="D548" i="1"/>
  <c r="I548" i="1"/>
  <c r="J548" i="1"/>
  <c r="A549" i="1"/>
  <c r="B549" i="1"/>
  <c r="C549" i="1"/>
  <c r="D549" i="1"/>
  <c r="E549" i="1" s="1"/>
  <c r="I549" i="1"/>
  <c r="J549" i="1"/>
  <c r="A550" i="1"/>
  <c r="B550" i="1"/>
  <c r="C550" i="1"/>
  <c r="D550" i="1"/>
  <c r="I550" i="1"/>
  <c r="J550" i="1"/>
  <c r="A551" i="1"/>
  <c r="B551" i="1"/>
  <c r="C551" i="1"/>
  <c r="D551" i="1"/>
  <c r="E551" i="1"/>
  <c r="I551" i="1"/>
  <c r="J551" i="1"/>
  <c r="A552" i="1"/>
  <c r="B552" i="1"/>
  <c r="C552" i="1"/>
  <c r="D552" i="1"/>
  <c r="I552" i="1"/>
  <c r="J552" i="1"/>
  <c r="A553" i="1"/>
  <c r="B553" i="1"/>
  <c r="C553" i="1"/>
  <c r="D553" i="1"/>
  <c r="E553" i="1" s="1"/>
  <c r="I553" i="1"/>
  <c r="J553" i="1"/>
  <c r="A554" i="1"/>
  <c r="B554" i="1"/>
  <c r="C554" i="1"/>
  <c r="D554" i="1"/>
  <c r="I554" i="1"/>
  <c r="J554" i="1"/>
  <c r="A555" i="1"/>
  <c r="B555" i="1"/>
  <c r="C555" i="1"/>
  <c r="D555" i="1"/>
  <c r="E555" i="1" s="1"/>
  <c r="I555" i="1"/>
  <c r="J555" i="1"/>
  <c r="A556" i="1"/>
  <c r="B556" i="1"/>
  <c r="C556" i="1"/>
  <c r="D556" i="1"/>
  <c r="I556" i="1"/>
  <c r="J556" i="1"/>
  <c r="A557" i="1"/>
  <c r="B557" i="1"/>
  <c r="C557" i="1"/>
  <c r="D557" i="1"/>
  <c r="E557" i="1" s="1"/>
  <c r="I557" i="1"/>
  <c r="J557" i="1"/>
  <c r="A558" i="1"/>
  <c r="B558" i="1"/>
  <c r="C558" i="1"/>
  <c r="D558" i="1"/>
  <c r="I558" i="1"/>
  <c r="J558" i="1"/>
  <c r="A559" i="1"/>
  <c r="B559" i="1"/>
  <c r="C559" i="1"/>
  <c r="D559" i="1"/>
  <c r="E559" i="1"/>
  <c r="I559" i="1"/>
  <c r="J559" i="1"/>
  <c r="A560" i="1"/>
  <c r="B560" i="1"/>
  <c r="C560" i="1"/>
  <c r="D560" i="1"/>
  <c r="I560" i="1"/>
  <c r="J560" i="1"/>
  <c r="A561" i="1"/>
  <c r="B561" i="1"/>
  <c r="C561" i="1"/>
  <c r="D561" i="1"/>
  <c r="E561" i="1" s="1"/>
  <c r="I561" i="1"/>
  <c r="J561" i="1"/>
  <c r="A562" i="1"/>
  <c r="B562" i="1"/>
  <c r="C562" i="1"/>
  <c r="D562" i="1"/>
  <c r="I562" i="1"/>
  <c r="J562" i="1"/>
  <c r="A563" i="1"/>
  <c r="B563" i="1"/>
  <c r="C563" i="1"/>
  <c r="D563" i="1"/>
  <c r="E563" i="1"/>
  <c r="I563" i="1"/>
  <c r="J563" i="1"/>
  <c r="A564" i="1"/>
  <c r="B564" i="1"/>
  <c r="C564" i="1"/>
  <c r="D564" i="1"/>
  <c r="I564" i="1"/>
  <c r="J564" i="1"/>
  <c r="A565" i="1"/>
  <c r="B565" i="1"/>
  <c r="C565" i="1"/>
  <c r="D565" i="1"/>
  <c r="E565" i="1" s="1"/>
  <c r="I565" i="1"/>
  <c r="J565" i="1"/>
  <c r="A566" i="1"/>
  <c r="B566" i="1"/>
  <c r="C566" i="1"/>
  <c r="D566" i="1"/>
  <c r="I566" i="1"/>
  <c r="J566" i="1"/>
  <c r="A567" i="1"/>
  <c r="B567" i="1"/>
  <c r="C567" i="1"/>
  <c r="D567" i="1"/>
  <c r="E567" i="1"/>
  <c r="I567" i="1"/>
  <c r="J567" i="1"/>
  <c r="A568" i="1"/>
  <c r="B568" i="1"/>
  <c r="C568" i="1"/>
  <c r="D568" i="1"/>
  <c r="I568" i="1"/>
  <c r="J568" i="1"/>
  <c r="A569" i="1"/>
  <c r="B569" i="1"/>
  <c r="C569" i="1"/>
  <c r="D569" i="1"/>
  <c r="E569" i="1" s="1"/>
  <c r="I569" i="1"/>
  <c r="J569" i="1"/>
  <c r="A570" i="1"/>
  <c r="B570" i="1"/>
  <c r="C570" i="1"/>
  <c r="D570" i="1"/>
  <c r="I570" i="1"/>
  <c r="J570" i="1"/>
  <c r="A571" i="1"/>
  <c r="B571" i="1"/>
  <c r="C571" i="1"/>
  <c r="D571" i="1"/>
  <c r="E571" i="1" s="1"/>
  <c r="I571" i="1"/>
  <c r="J571" i="1"/>
  <c r="A572" i="1"/>
  <c r="B572" i="1"/>
  <c r="C572" i="1"/>
  <c r="D572" i="1"/>
  <c r="I572" i="1"/>
  <c r="J572" i="1"/>
  <c r="A573" i="1"/>
  <c r="B573" i="1"/>
  <c r="C573" i="1"/>
  <c r="D573" i="1"/>
  <c r="I573" i="1"/>
  <c r="J573" i="1"/>
  <c r="A574" i="1"/>
  <c r="B574" i="1"/>
  <c r="C574" i="1"/>
  <c r="D574" i="1"/>
  <c r="I574" i="1"/>
  <c r="J574" i="1"/>
  <c r="A575" i="1"/>
  <c r="B575" i="1"/>
  <c r="C575" i="1"/>
  <c r="D575" i="1"/>
  <c r="E575" i="1" s="1"/>
  <c r="I575" i="1"/>
  <c r="J575" i="1"/>
  <c r="A576" i="1"/>
  <c r="B576" i="1"/>
  <c r="C576" i="1"/>
  <c r="D576" i="1"/>
  <c r="E576" i="1"/>
  <c r="I576" i="1"/>
  <c r="J576" i="1"/>
  <c r="A577" i="1"/>
  <c r="B577" i="1"/>
  <c r="C577" i="1"/>
  <c r="D577" i="1"/>
  <c r="I577" i="1"/>
  <c r="J577" i="1"/>
  <c r="A578" i="1"/>
  <c r="B578" i="1"/>
  <c r="C578" i="1"/>
  <c r="D578" i="1"/>
  <c r="I578" i="1"/>
  <c r="J578" i="1"/>
  <c r="A579" i="1"/>
  <c r="B579" i="1"/>
  <c r="C579" i="1"/>
  <c r="D579" i="1"/>
  <c r="E579" i="1" s="1"/>
  <c r="I579" i="1"/>
  <c r="J579" i="1"/>
  <c r="A580" i="1"/>
  <c r="B580" i="1"/>
  <c r="C580" i="1"/>
  <c r="D580" i="1"/>
  <c r="I580" i="1"/>
  <c r="J580" i="1"/>
  <c r="A581" i="1"/>
  <c r="B581" i="1"/>
  <c r="C581" i="1"/>
  <c r="D581" i="1"/>
  <c r="I581" i="1"/>
  <c r="J581" i="1"/>
  <c r="A582" i="1"/>
  <c r="B582" i="1"/>
  <c r="C582" i="1"/>
  <c r="D582" i="1"/>
  <c r="I582" i="1"/>
  <c r="J582" i="1"/>
  <c r="A583" i="1"/>
  <c r="B583" i="1"/>
  <c r="C583" i="1"/>
  <c r="D583" i="1"/>
  <c r="E583" i="1"/>
  <c r="I583" i="1"/>
  <c r="J583" i="1"/>
  <c r="A584" i="1"/>
  <c r="B584" i="1"/>
  <c r="C584" i="1"/>
  <c r="D584" i="1"/>
  <c r="E584" i="1" s="1"/>
  <c r="I584" i="1"/>
  <c r="J584" i="1"/>
  <c r="A585" i="1"/>
  <c r="B585" i="1"/>
  <c r="C585" i="1"/>
  <c r="D585" i="1"/>
  <c r="I585" i="1"/>
  <c r="J585" i="1"/>
  <c r="A586" i="1"/>
  <c r="B586" i="1"/>
  <c r="C586" i="1"/>
  <c r="D586" i="1"/>
  <c r="I586" i="1"/>
  <c r="J586" i="1"/>
  <c r="A587" i="1"/>
  <c r="B587" i="1"/>
  <c r="C587" i="1"/>
  <c r="D587" i="1"/>
  <c r="I587" i="1"/>
  <c r="J587" i="1"/>
  <c r="A588" i="1"/>
  <c r="B588" i="1"/>
  <c r="C588" i="1"/>
  <c r="D588" i="1"/>
  <c r="E588" i="1" s="1"/>
  <c r="I588" i="1"/>
  <c r="J588" i="1"/>
  <c r="A589" i="1"/>
  <c r="B589" i="1"/>
  <c r="C589" i="1"/>
  <c r="D589" i="1"/>
  <c r="E589" i="1" s="1"/>
  <c r="I589" i="1"/>
  <c r="J589" i="1"/>
  <c r="A590" i="1"/>
  <c r="B590" i="1"/>
  <c r="C590" i="1"/>
  <c r="D590" i="1"/>
  <c r="I590" i="1"/>
  <c r="J590" i="1"/>
  <c r="A591" i="1"/>
  <c r="B591" i="1"/>
  <c r="C591" i="1"/>
  <c r="D591" i="1"/>
  <c r="I591" i="1"/>
  <c r="J591" i="1"/>
  <c r="A592" i="1"/>
  <c r="B592" i="1"/>
  <c r="C592" i="1"/>
  <c r="D592" i="1"/>
  <c r="I592" i="1"/>
  <c r="J592" i="1"/>
  <c r="A593" i="1"/>
  <c r="B593" i="1"/>
  <c r="C593" i="1"/>
  <c r="D593" i="1"/>
  <c r="I593" i="1"/>
  <c r="J593" i="1"/>
  <c r="A594" i="1"/>
  <c r="B594" i="1"/>
  <c r="C594" i="1"/>
  <c r="D594" i="1"/>
  <c r="I594" i="1"/>
  <c r="J594" i="1"/>
  <c r="A595" i="1"/>
  <c r="B595" i="1"/>
  <c r="C595" i="1"/>
  <c r="D595" i="1"/>
  <c r="I595" i="1"/>
  <c r="J595" i="1"/>
  <c r="A596" i="1"/>
  <c r="B596" i="1"/>
  <c r="C596" i="1"/>
  <c r="D596" i="1"/>
  <c r="I596" i="1"/>
  <c r="J596" i="1"/>
  <c r="A597" i="1"/>
  <c r="B597" i="1"/>
  <c r="C597" i="1"/>
  <c r="D597" i="1"/>
  <c r="E597" i="1" s="1"/>
  <c r="I597" i="1"/>
  <c r="J597" i="1"/>
  <c r="A598" i="1"/>
  <c r="B598" i="1"/>
  <c r="C598" i="1"/>
  <c r="D598" i="1"/>
  <c r="I598" i="1"/>
  <c r="J598" i="1"/>
  <c r="A599" i="1"/>
  <c r="B599" i="1"/>
  <c r="C599" i="1"/>
  <c r="D599" i="1"/>
  <c r="I599" i="1"/>
  <c r="J599" i="1"/>
  <c r="A600" i="1"/>
  <c r="B600" i="1"/>
  <c r="C600" i="1"/>
  <c r="D600" i="1"/>
  <c r="I600" i="1"/>
  <c r="J600" i="1"/>
  <c r="A601" i="1"/>
  <c r="B601" i="1"/>
  <c r="C601" i="1"/>
  <c r="D601" i="1"/>
  <c r="E601" i="1" s="1"/>
  <c r="I601" i="1"/>
  <c r="J601" i="1"/>
  <c r="A602" i="1"/>
  <c r="B602" i="1"/>
  <c r="C602" i="1"/>
  <c r="D602" i="1"/>
  <c r="E602" i="1"/>
  <c r="I602" i="1"/>
  <c r="J602" i="1"/>
  <c r="A603" i="1"/>
  <c r="B603" i="1"/>
  <c r="C603" i="1"/>
  <c r="D603" i="1"/>
  <c r="I603" i="1"/>
  <c r="J603" i="1"/>
  <c r="A604" i="1"/>
  <c r="B604" i="1"/>
  <c r="C604" i="1"/>
  <c r="D604" i="1"/>
  <c r="I604" i="1"/>
  <c r="J604" i="1"/>
  <c r="A605" i="1"/>
  <c r="B605" i="1"/>
  <c r="C605" i="1"/>
  <c r="D605" i="1"/>
  <c r="I605" i="1"/>
  <c r="J605" i="1"/>
  <c r="A606" i="1"/>
  <c r="B606" i="1"/>
  <c r="C606" i="1"/>
  <c r="D606" i="1"/>
  <c r="E606" i="1" s="1"/>
  <c r="I606" i="1"/>
  <c r="J606" i="1"/>
  <c r="A607" i="1"/>
  <c r="B607" i="1"/>
  <c r="C607" i="1"/>
  <c r="D607" i="1"/>
  <c r="E607" i="1"/>
  <c r="I607" i="1"/>
  <c r="J607" i="1"/>
  <c r="A608" i="1"/>
  <c r="B608" i="1"/>
  <c r="C608" i="1"/>
  <c r="D608" i="1"/>
  <c r="I608" i="1"/>
  <c r="J608" i="1"/>
  <c r="A609" i="1"/>
  <c r="B609" i="1"/>
  <c r="C609" i="1"/>
  <c r="D609" i="1"/>
  <c r="I609" i="1"/>
  <c r="J609" i="1"/>
  <c r="A610" i="1"/>
  <c r="B610" i="1"/>
  <c r="C610" i="1"/>
  <c r="D610" i="1"/>
  <c r="I610" i="1"/>
  <c r="J610" i="1"/>
  <c r="A611" i="1"/>
  <c r="B611" i="1"/>
  <c r="C611" i="1"/>
  <c r="D611" i="1"/>
  <c r="E611" i="1" s="1"/>
  <c r="I611" i="1"/>
  <c r="J611" i="1"/>
  <c r="A612" i="1"/>
  <c r="B612" i="1"/>
  <c r="C612" i="1"/>
  <c r="D612" i="1"/>
  <c r="E612" i="1" s="1"/>
  <c r="I612" i="1"/>
  <c r="J612" i="1"/>
  <c r="A613" i="1"/>
  <c r="B613" i="1"/>
  <c r="C613" i="1"/>
  <c r="D613" i="1"/>
  <c r="I613" i="1"/>
  <c r="J613" i="1"/>
  <c r="A614" i="1"/>
  <c r="B614" i="1"/>
  <c r="C614" i="1"/>
  <c r="D614" i="1"/>
  <c r="I614" i="1"/>
  <c r="J614" i="1"/>
  <c r="A615" i="1"/>
  <c r="B615" i="1"/>
  <c r="C615" i="1"/>
  <c r="D615" i="1"/>
  <c r="I615" i="1"/>
  <c r="J615" i="1"/>
  <c r="A616" i="1"/>
  <c r="B616" i="1"/>
  <c r="C616" i="1"/>
  <c r="D616" i="1"/>
  <c r="I616" i="1"/>
  <c r="J616" i="1"/>
  <c r="A617" i="1"/>
  <c r="B617" i="1"/>
  <c r="C617" i="1"/>
  <c r="D617" i="1"/>
  <c r="E617" i="1" s="1"/>
  <c r="I617" i="1"/>
  <c r="J617" i="1"/>
  <c r="A618" i="1"/>
  <c r="B618" i="1"/>
  <c r="C618" i="1"/>
  <c r="D618" i="1"/>
  <c r="I618" i="1"/>
  <c r="J618" i="1"/>
  <c r="A619" i="1"/>
  <c r="B619" i="1"/>
  <c r="C619" i="1"/>
  <c r="D619" i="1"/>
  <c r="I619" i="1"/>
  <c r="J619" i="1"/>
  <c r="A620" i="1"/>
  <c r="B620" i="1"/>
  <c r="C620" i="1"/>
  <c r="D620" i="1"/>
  <c r="I620" i="1"/>
  <c r="J620" i="1"/>
  <c r="A621" i="1"/>
  <c r="B621" i="1"/>
  <c r="C621" i="1"/>
  <c r="D621" i="1"/>
  <c r="I621" i="1"/>
  <c r="J621" i="1"/>
  <c r="A622" i="1"/>
  <c r="B622" i="1"/>
  <c r="C622" i="1"/>
  <c r="D622" i="1"/>
  <c r="I622" i="1"/>
  <c r="J622" i="1"/>
  <c r="A623" i="1"/>
  <c r="B623" i="1"/>
  <c r="C623" i="1"/>
  <c r="D623" i="1"/>
  <c r="I623" i="1"/>
  <c r="J623" i="1"/>
  <c r="A624" i="1"/>
  <c r="B624" i="1"/>
  <c r="C624" i="1"/>
  <c r="D624" i="1"/>
  <c r="I624" i="1"/>
  <c r="J624" i="1"/>
  <c r="A625" i="1"/>
  <c r="B625" i="1"/>
  <c r="C625" i="1"/>
  <c r="D625" i="1"/>
  <c r="I625" i="1"/>
  <c r="J625" i="1"/>
  <c r="A626" i="1"/>
  <c r="B626" i="1"/>
  <c r="C626" i="1"/>
  <c r="D626" i="1"/>
  <c r="I626" i="1"/>
  <c r="J626" i="1"/>
  <c r="A627" i="1"/>
  <c r="B627" i="1"/>
  <c r="C627" i="1"/>
  <c r="D627" i="1"/>
  <c r="I627" i="1"/>
  <c r="J627" i="1"/>
  <c r="A628" i="1"/>
  <c r="B628" i="1"/>
  <c r="C628" i="1"/>
  <c r="D628" i="1"/>
  <c r="I628" i="1"/>
  <c r="J628" i="1"/>
  <c r="A629" i="1"/>
  <c r="B629" i="1"/>
  <c r="C629" i="1"/>
  <c r="D629" i="1"/>
  <c r="E629" i="1"/>
  <c r="I629" i="1"/>
  <c r="J629" i="1"/>
  <c r="A630" i="1"/>
  <c r="B630" i="1"/>
  <c r="C630" i="1"/>
  <c r="D630" i="1"/>
  <c r="E630" i="1" s="1"/>
  <c r="I630" i="1"/>
  <c r="J630" i="1"/>
  <c r="A631" i="1"/>
  <c r="B631" i="1"/>
  <c r="C631" i="1"/>
  <c r="D631" i="1"/>
  <c r="I631" i="1"/>
  <c r="J631" i="1"/>
  <c r="A632" i="1"/>
  <c r="B632" i="1"/>
  <c r="C632" i="1"/>
  <c r="D632" i="1"/>
  <c r="E632" i="1"/>
  <c r="I632" i="1"/>
  <c r="J632" i="1"/>
  <c r="A633" i="1"/>
  <c r="B633" i="1"/>
  <c r="C633" i="1"/>
  <c r="D633" i="1"/>
  <c r="I633" i="1"/>
  <c r="J633" i="1"/>
  <c r="A634" i="1"/>
  <c r="B634" i="1"/>
  <c r="C634" i="1"/>
  <c r="D634" i="1"/>
  <c r="E634" i="1" s="1"/>
  <c r="I634" i="1"/>
  <c r="J634" i="1"/>
  <c r="A635" i="1"/>
  <c r="B635" i="1"/>
  <c r="C635" i="1"/>
  <c r="D635" i="1"/>
  <c r="I635" i="1"/>
  <c r="J635" i="1"/>
  <c r="A636" i="1"/>
  <c r="B636" i="1"/>
  <c r="C636" i="1"/>
  <c r="D636" i="1"/>
  <c r="E636" i="1" s="1"/>
  <c r="I636" i="1"/>
  <c r="J636" i="1"/>
  <c r="A637" i="1"/>
  <c r="B637" i="1"/>
  <c r="C637" i="1"/>
  <c r="D637" i="1"/>
  <c r="I637" i="1"/>
  <c r="J637" i="1"/>
  <c r="A638" i="1"/>
  <c r="B638" i="1"/>
  <c r="C638" i="1"/>
  <c r="D638" i="1"/>
  <c r="E638" i="1" s="1"/>
  <c r="I638" i="1"/>
  <c r="J638" i="1"/>
  <c r="A639" i="1"/>
  <c r="B639" i="1"/>
  <c r="C639" i="1"/>
  <c r="D639" i="1"/>
  <c r="I639" i="1"/>
  <c r="J639" i="1"/>
  <c r="A640" i="1"/>
  <c r="B640" i="1"/>
  <c r="C640" i="1"/>
  <c r="D640" i="1"/>
  <c r="E640" i="1"/>
  <c r="I640" i="1"/>
  <c r="J640" i="1"/>
  <c r="A641" i="1"/>
  <c r="B641" i="1"/>
  <c r="C641" i="1"/>
  <c r="D641" i="1"/>
  <c r="I641" i="1"/>
  <c r="J641" i="1"/>
  <c r="A642" i="1"/>
  <c r="B642" i="1"/>
  <c r="C642" i="1"/>
  <c r="D642" i="1"/>
  <c r="E642" i="1" s="1"/>
  <c r="I642" i="1"/>
  <c r="J642" i="1"/>
  <c r="A643" i="1"/>
  <c r="B643" i="1"/>
  <c r="C643" i="1"/>
  <c r="D643" i="1"/>
  <c r="I643" i="1"/>
  <c r="J643" i="1"/>
  <c r="A644" i="1"/>
  <c r="B644" i="1"/>
  <c r="C644" i="1"/>
  <c r="D644" i="1"/>
  <c r="E644" i="1" s="1"/>
  <c r="I644" i="1"/>
  <c r="J644" i="1"/>
  <c r="A645" i="1"/>
  <c r="B645" i="1"/>
  <c r="C645" i="1"/>
  <c r="D645" i="1"/>
  <c r="I645" i="1"/>
  <c r="A646" i="1"/>
  <c r="B646" i="1"/>
  <c r="C646" i="1"/>
  <c r="D646" i="1"/>
  <c r="E646" i="1" s="1"/>
  <c r="I646" i="1"/>
  <c r="J646" i="1"/>
  <c r="A647" i="1"/>
  <c r="B647" i="1"/>
  <c r="C647" i="1"/>
  <c r="E647" i="1"/>
  <c r="I647" i="1"/>
  <c r="J647" i="1"/>
  <c r="A648" i="1"/>
  <c r="B648" i="1"/>
  <c r="C648" i="1"/>
  <c r="E648" i="1"/>
  <c r="I648" i="1"/>
  <c r="J648" i="1"/>
  <c r="A649" i="1"/>
  <c r="B649" i="1"/>
  <c r="C649" i="1"/>
  <c r="D649" i="1"/>
  <c r="I649" i="1"/>
  <c r="J649" i="1"/>
  <c r="A650" i="1"/>
  <c r="B650" i="1"/>
  <c r="C650" i="1"/>
  <c r="D650" i="1"/>
  <c r="I650" i="1"/>
  <c r="J650" i="1"/>
  <c r="A651" i="1"/>
  <c r="B651" i="1"/>
  <c r="C651" i="1"/>
  <c r="D651" i="1"/>
  <c r="I651" i="1"/>
  <c r="J651" i="1"/>
  <c r="A652" i="1"/>
  <c r="B652" i="1"/>
  <c r="C652" i="1"/>
  <c r="D652" i="1"/>
  <c r="I652" i="1"/>
  <c r="J652" i="1"/>
  <c r="A653" i="1"/>
  <c r="B653" i="1"/>
  <c r="C653" i="1"/>
  <c r="D653" i="1"/>
  <c r="I653" i="1"/>
  <c r="J653" i="1"/>
  <c r="A654" i="1"/>
  <c r="B654" i="1"/>
  <c r="C654" i="1"/>
  <c r="D654" i="1"/>
  <c r="I654" i="1"/>
  <c r="J654" i="1"/>
  <c r="A655" i="1"/>
  <c r="B655" i="1"/>
  <c r="C655" i="1"/>
  <c r="D655" i="1"/>
  <c r="I655" i="1"/>
  <c r="J655" i="1"/>
  <c r="A656" i="1"/>
  <c r="B656" i="1"/>
  <c r="C656" i="1"/>
  <c r="D656" i="1"/>
  <c r="I656" i="1"/>
  <c r="J656" i="1"/>
  <c r="A657" i="1"/>
  <c r="B657" i="1"/>
  <c r="C657" i="1"/>
  <c r="D657" i="1"/>
  <c r="I657" i="1"/>
  <c r="J657" i="1"/>
  <c r="A658" i="1"/>
  <c r="B658" i="1"/>
  <c r="C658" i="1"/>
  <c r="D658" i="1"/>
  <c r="I658" i="1"/>
  <c r="J658" i="1"/>
  <c r="A659" i="1"/>
  <c r="B659" i="1"/>
  <c r="C659" i="1"/>
  <c r="D659" i="1"/>
  <c r="I659" i="1"/>
  <c r="J659" i="1"/>
  <c r="A660" i="1"/>
  <c r="B660" i="1"/>
  <c r="C660" i="1"/>
  <c r="D660" i="1"/>
  <c r="I660" i="1"/>
  <c r="J660" i="1"/>
  <c r="A661" i="1"/>
  <c r="B661" i="1"/>
  <c r="C661" i="1"/>
  <c r="D661" i="1"/>
  <c r="I661" i="1"/>
  <c r="J661" i="1"/>
  <c r="A662" i="1"/>
  <c r="B662" i="1"/>
  <c r="C662" i="1"/>
  <c r="D662" i="1"/>
  <c r="I662" i="1"/>
  <c r="J662" i="1"/>
  <c r="A663" i="1"/>
  <c r="B663" i="1"/>
  <c r="C663" i="1"/>
  <c r="D663" i="1"/>
  <c r="I663" i="1"/>
  <c r="J663" i="1"/>
  <c r="A664" i="1"/>
  <c r="B664" i="1"/>
  <c r="C664" i="1"/>
  <c r="D664" i="1"/>
  <c r="I664" i="1"/>
  <c r="J664" i="1"/>
  <c r="A665" i="1"/>
  <c r="B665" i="1"/>
  <c r="C665" i="1"/>
  <c r="D665" i="1"/>
  <c r="I665" i="1"/>
  <c r="J665" i="1"/>
  <c r="A666" i="1"/>
  <c r="B666" i="1"/>
  <c r="C666" i="1"/>
  <c r="D666" i="1"/>
  <c r="I666" i="1"/>
  <c r="J666" i="1"/>
  <c r="A667" i="1"/>
  <c r="B667" i="1"/>
  <c r="C667" i="1"/>
  <c r="D667" i="1"/>
  <c r="I667" i="1"/>
  <c r="J667" i="1"/>
  <c r="A668" i="1"/>
  <c r="B668" i="1"/>
  <c r="C668" i="1"/>
  <c r="D668" i="1"/>
  <c r="I668" i="1"/>
  <c r="J668" i="1"/>
  <c r="A669" i="1"/>
  <c r="B669" i="1"/>
  <c r="C669" i="1"/>
  <c r="D669" i="1"/>
  <c r="I669" i="1"/>
  <c r="J669" i="1"/>
  <c r="A670" i="1"/>
  <c r="B670" i="1"/>
  <c r="C670" i="1"/>
  <c r="D670" i="1"/>
  <c r="I670" i="1"/>
  <c r="J670" i="1"/>
  <c r="A671" i="1"/>
  <c r="B671" i="1"/>
  <c r="C671" i="1"/>
  <c r="D671" i="1"/>
  <c r="I671" i="1"/>
  <c r="J671" i="1"/>
  <c r="A672" i="1"/>
  <c r="B672" i="1"/>
  <c r="C672" i="1"/>
  <c r="D672" i="1"/>
  <c r="I672" i="1"/>
  <c r="J672" i="1"/>
  <c r="A673" i="1"/>
  <c r="B673" i="1"/>
  <c r="C673" i="1"/>
  <c r="D673" i="1"/>
  <c r="I673" i="1"/>
  <c r="J673" i="1"/>
  <c r="A674" i="1"/>
  <c r="B674" i="1"/>
  <c r="C674" i="1"/>
  <c r="D674" i="1"/>
  <c r="I674" i="1"/>
  <c r="J674" i="1"/>
  <c r="A675" i="1"/>
  <c r="B675" i="1"/>
  <c r="C675" i="1"/>
  <c r="D675" i="1"/>
  <c r="I675" i="1"/>
  <c r="J675" i="1"/>
  <c r="A676" i="1"/>
  <c r="B676" i="1"/>
  <c r="C676" i="1"/>
  <c r="D676" i="1"/>
  <c r="I676" i="1"/>
  <c r="J676" i="1"/>
  <c r="A677" i="1"/>
  <c r="B677" i="1"/>
  <c r="C677" i="1"/>
  <c r="D677" i="1"/>
  <c r="I677" i="1"/>
  <c r="J677" i="1"/>
  <c r="A678" i="1"/>
  <c r="B678" i="1"/>
  <c r="C678" i="1"/>
  <c r="D678" i="1"/>
  <c r="I678" i="1"/>
  <c r="J678" i="1"/>
  <c r="A679" i="1"/>
  <c r="B679" i="1"/>
  <c r="C679" i="1"/>
  <c r="D679" i="1"/>
  <c r="I679" i="1"/>
  <c r="J679" i="1"/>
  <c r="A680" i="1"/>
  <c r="B680" i="1"/>
  <c r="C680" i="1"/>
  <c r="D680" i="1"/>
  <c r="I680" i="1"/>
  <c r="J680" i="1"/>
  <c r="A681" i="1"/>
  <c r="B681" i="1"/>
  <c r="C681" i="1"/>
  <c r="D681" i="1"/>
  <c r="I681" i="1"/>
  <c r="J681" i="1"/>
  <c r="A682" i="1"/>
  <c r="B682" i="1"/>
  <c r="C682" i="1"/>
  <c r="D682" i="1"/>
  <c r="I682" i="1"/>
  <c r="J682" i="1"/>
  <c r="A683" i="1"/>
  <c r="B683" i="1"/>
  <c r="C683" i="1"/>
  <c r="D683" i="1"/>
  <c r="I683" i="1"/>
  <c r="J683" i="1"/>
  <c r="A684" i="1"/>
  <c r="B684" i="1"/>
  <c r="C684" i="1"/>
  <c r="D684" i="1"/>
  <c r="I684" i="1"/>
  <c r="J684" i="1"/>
  <c r="A685" i="1"/>
  <c r="B685" i="1"/>
  <c r="C685" i="1"/>
  <c r="D685" i="1"/>
  <c r="I685" i="1"/>
  <c r="J685" i="1"/>
  <c r="A686" i="1"/>
  <c r="B686" i="1"/>
  <c r="C686" i="1"/>
  <c r="D686" i="1"/>
  <c r="I686" i="1"/>
  <c r="J686" i="1"/>
  <c r="A687" i="1"/>
  <c r="B687" i="1"/>
  <c r="C687" i="1"/>
  <c r="D687" i="1"/>
  <c r="I687" i="1"/>
  <c r="J687" i="1"/>
  <c r="A688" i="1"/>
  <c r="B688" i="1"/>
  <c r="C688" i="1"/>
  <c r="D688" i="1"/>
  <c r="I688" i="1"/>
  <c r="J688" i="1"/>
  <c r="A689" i="1"/>
  <c r="B689" i="1"/>
  <c r="C689" i="1"/>
  <c r="D689" i="1"/>
  <c r="I689" i="1"/>
  <c r="J689" i="1"/>
  <c r="A690" i="1"/>
  <c r="B690" i="1"/>
  <c r="C690" i="1"/>
  <c r="D690" i="1"/>
  <c r="I690" i="1"/>
  <c r="J690" i="1"/>
  <c r="A691" i="1"/>
  <c r="B691" i="1"/>
  <c r="C691" i="1"/>
  <c r="D691" i="1"/>
  <c r="I691" i="1"/>
  <c r="J691" i="1"/>
  <c r="A692" i="1"/>
  <c r="B692" i="1"/>
  <c r="C692" i="1"/>
  <c r="D692" i="1"/>
  <c r="I692" i="1"/>
  <c r="J692" i="1"/>
  <c r="A693" i="1"/>
  <c r="B693" i="1"/>
  <c r="C693" i="1"/>
  <c r="D693" i="1"/>
  <c r="I693" i="1"/>
  <c r="J693" i="1"/>
  <c r="A694" i="1"/>
  <c r="B694" i="1"/>
  <c r="C694" i="1"/>
  <c r="D694" i="1"/>
  <c r="I694" i="1"/>
  <c r="J694" i="1"/>
  <c r="A695" i="1"/>
  <c r="B695" i="1"/>
  <c r="C695" i="1"/>
  <c r="D695" i="1"/>
  <c r="I695" i="1"/>
  <c r="J695" i="1"/>
  <c r="A696" i="1"/>
  <c r="B696" i="1"/>
  <c r="C696" i="1"/>
  <c r="D696" i="1"/>
  <c r="I696" i="1"/>
  <c r="J696" i="1"/>
  <c r="A697" i="1"/>
  <c r="B697" i="1"/>
  <c r="C697" i="1"/>
  <c r="D697" i="1"/>
  <c r="I697" i="1"/>
  <c r="J697" i="1"/>
  <c r="A698" i="1"/>
  <c r="B698" i="1"/>
  <c r="C698" i="1"/>
  <c r="D698" i="1"/>
  <c r="I698" i="1"/>
  <c r="J698" i="1"/>
  <c r="A699" i="1"/>
  <c r="B699" i="1"/>
  <c r="C699" i="1"/>
  <c r="D699" i="1"/>
  <c r="I699" i="1"/>
  <c r="J699" i="1"/>
  <c r="A700" i="1"/>
  <c r="B700" i="1"/>
  <c r="C700" i="1"/>
  <c r="D700" i="1"/>
  <c r="I700" i="1"/>
  <c r="J700" i="1"/>
  <c r="A701" i="1"/>
  <c r="B701" i="1"/>
  <c r="C701" i="1"/>
  <c r="D701" i="1"/>
  <c r="I701" i="1"/>
  <c r="J701" i="1"/>
  <c r="A702" i="1"/>
  <c r="B702" i="1"/>
  <c r="C702" i="1"/>
  <c r="D702" i="1"/>
  <c r="I702" i="1"/>
  <c r="J702" i="1"/>
  <c r="A703" i="1"/>
  <c r="B703" i="1"/>
  <c r="C703" i="1"/>
  <c r="D703" i="1"/>
  <c r="I703" i="1"/>
  <c r="J703" i="1"/>
  <c r="A704" i="1"/>
  <c r="B704" i="1"/>
  <c r="C704" i="1"/>
  <c r="D704" i="1"/>
  <c r="I704" i="1"/>
  <c r="J704" i="1"/>
  <c r="A705" i="1"/>
  <c r="B705" i="1"/>
  <c r="C705" i="1"/>
  <c r="D705" i="1"/>
  <c r="I705" i="1"/>
  <c r="J705" i="1"/>
  <c r="A706" i="1"/>
  <c r="B706" i="1"/>
  <c r="C706" i="1"/>
  <c r="D706" i="1"/>
  <c r="I706" i="1"/>
  <c r="J706" i="1"/>
  <c r="A707" i="1"/>
  <c r="B707" i="1"/>
  <c r="C707" i="1"/>
  <c r="D707" i="1"/>
  <c r="I707" i="1"/>
  <c r="J707" i="1"/>
  <c r="A708" i="1"/>
  <c r="B708" i="1"/>
  <c r="C708" i="1"/>
  <c r="D708" i="1"/>
  <c r="I708" i="1"/>
  <c r="J708" i="1"/>
  <c r="A709" i="1"/>
  <c r="B709" i="1"/>
  <c r="C709" i="1"/>
  <c r="D709" i="1"/>
  <c r="I709" i="1"/>
  <c r="J709" i="1"/>
  <c r="A710" i="1"/>
  <c r="B710" i="1"/>
  <c r="C710" i="1"/>
  <c r="D710" i="1"/>
  <c r="I710" i="1"/>
  <c r="J710" i="1"/>
  <c r="A711" i="1"/>
  <c r="B711" i="1"/>
  <c r="C711" i="1"/>
  <c r="D711" i="1"/>
  <c r="I711" i="1"/>
  <c r="J711" i="1"/>
  <c r="A712" i="1"/>
  <c r="B712" i="1"/>
  <c r="C712" i="1"/>
  <c r="D712" i="1"/>
  <c r="I712" i="1"/>
  <c r="J712" i="1"/>
  <c r="A713" i="1"/>
  <c r="B713" i="1"/>
  <c r="C713" i="1"/>
  <c r="D713" i="1"/>
  <c r="I713" i="1"/>
  <c r="J713" i="1"/>
  <c r="A714" i="1"/>
  <c r="B714" i="1"/>
  <c r="C714" i="1"/>
  <c r="D714" i="1"/>
  <c r="I714" i="1"/>
  <c r="J714" i="1"/>
  <c r="A715" i="1"/>
  <c r="B715" i="1"/>
  <c r="C715" i="1"/>
  <c r="D715" i="1"/>
  <c r="I715" i="1"/>
  <c r="J715" i="1"/>
  <c r="A716" i="1"/>
  <c r="B716" i="1"/>
  <c r="C716" i="1"/>
  <c r="D716" i="1"/>
  <c r="I716" i="1"/>
  <c r="J716" i="1"/>
  <c r="A717" i="1"/>
  <c r="B717" i="1"/>
  <c r="C717" i="1"/>
  <c r="D717" i="1"/>
  <c r="I717" i="1"/>
  <c r="J717" i="1"/>
  <c r="A718" i="1"/>
  <c r="B718" i="1"/>
  <c r="C718" i="1"/>
  <c r="D718" i="1"/>
  <c r="I718" i="1"/>
  <c r="J718" i="1"/>
  <c r="A719" i="1"/>
  <c r="B719" i="1"/>
  <c r="C719" i="1"/>
  <c r="D719" i="1"/>
  <c r="I719" i="1"/>
  <c r="J719" i="1"/>
  <c r="A720" i="1"/>
  <c r="B720" i="1"/>
  <c r="C720" i="1"/>
  <c r="D720" i="1"/>
  <c r="I720" i="1"/>
  <c r="J720" i="1"/>
  <c r="A721" i="1"/>
  <c r="B721" i="1"/>
  <c r="C721" i="1"/>
  <c r="D721" i="1"/>
  <c r="I721" i="1"/>
  <c r="J721" i="1"/>
  <c r="A722" i="1"/>
  <c r="B722" i="1"/>
  <c r="C722" i="1"/>
  <c r="D722" i="1"/>
  <c r="I722" i="1"/>
  <c r="J722" i="1"/>
  <c r="A723" i="1"/>
  <c r="B723" i="1"/>
  <c r="C723" i="1"/>
  <c r="D723" i="1"/>
  <c r="I723" i="1"/>
  <c r="J723" i="1"/>
  <c r="A724" i="1"/>
  <c r="B724" i="1"/>
  <c r="C724" i="1"/>
  <c r="D724" i="1"/>
  <c r="I724" i="1"/>
  <c r="J724" i="1"/>
  <c r="A725" i="1"/>
  <c r="B725" i="1"/>
  <c r="C725" i="1"/>
  <c r="D725" i="1"/>
  <c r="I725" i="1"/>
  <c r="J725" i="1"/>
  <c r="A726" i="1"/>
  <c r="B726" i="1"/>
  <c r="C726" i="1"/>
  <c r="D726" i="1"/>
  <c r="I726" i="1"/>
  <c r="J726" i="1"/>
  <c r="A727" i="1"/>
  <c r="B727" i="1"/>
  <c r="C727" i="1"/>
  <c r="D727" i="1"/>
  <c r="I727" i="1"/>
  <c r="J727" i="1"/>
  <c r="A728" i="1"/>
  <c r="B728" i="1"/>
  <c r="C728" i="1"/>
  <c r="D728" i="1"/>
  <c r="I728" i="1"/>
  <c r="J728" i="1"/>
  <c r="A729" i="1"/>
  <c r="B729" i="1"/>
  <c r="C729" i="1"/>
  <c r="D729" i="1"/>
  <c r="I729" i="1"/>
  <c r="J729" i="1"/>
  <c r="A730" i="1"/>
  <c r="B730" i="1"/>
  <c r="C730" i="1"/>
  <c r="D730" i="1"/>
  <c r="I730" i="1"/>
  <c r="J730" i="1"/>
  <c r="A731" i="1"/>
  <c r="B731" i="1"/>
  <c r="C731" i="1"/>
  <c r="D731" i="1"/>
  <c r="I731" i="1"/>
  <c r="J731" i="1"/>
  <c r="A732" i="1"/>
  <c r="B732" i="1"/>
  <c r="C732" i="1"/>
  <c r="D732" i="1"/>
  <c r="I732" i="1"/>
  <c r="J732" i="1"/>
  <c r="A733" i="1"/>
  <c r="B733" i="1"/>
  <c r="C733" i="1"/>
  <c r="D733" i="1"/>
  <c r="I733" i="1"/>
  <c r="J733" i="1"/>
  <c r="A734" i="1"/>
  <c r="B734" i="1"/>
  <c r="C734" i="1"/>
  <c r="D734" i="1"/>
  <c r="I734" i="1"/>
  <c r="J734" i="1"/>
  <c r="A735" i="1"/>
  <c r="B735" i="1"/>
  <c r="C735" i="1"/>
  <c r="E735" i="1"/>
  <c r="I735" i="1"/>
  <c r="J735" i="1"/>
  <c r="A736" i="1"/>
  <c r="B736" i="1"/>
  <c r="C736" i="1"/>
  <c r="E736" i="1"/>
  <c r="I736" i="1"/>
  <c r="J736" i="1"/>
  <c r="A737" i="1"/>
  <c r="B737" i="1"/>
  <c r="C737" i="1"/>
  <c r="E737" i="1"/>
  <c r="I737" i="1"/>
  <c r="J737" i="1"/>
  <c r="A738" i="1"/>
  <c r="B738" i="1"/>
  <c r="C738" i="1"/>
  <c r="E738" i="1"/>
  <c r="I738" i="1"/>
  <c r="J738" i="1"/>
  <c r="A739" i="1"/>
  <c r="B739" i="1"/>
  <c r="C739" i="1"/>
  <c r="E739" i="1"/>
  <c r="I739" i="1"/>
  <c r="J739" i="1"/>
  <c r="A740" i="1"/>
  <c r="B740" i="1"/>
  <c r="C740" i="1"/>
  <c r="E740" i="1"/>
  <c r="I740" i="1"/>
  <c r="J740" i="1"/>
  <c r="A741" i="1"/>
  <c r="B741" i="1"/>
  <c r="C741" i="1"/>
  <c r="E741" i="1"/>
  <c r="I741" i="1"/>
  <c r="J741" i="1"/>
  <c r="A742" i="1"/>
  <c r="B742" i="1"/>
  <c r="C742" i="1"/>
  <c r="E742" i="1"/>
  <c r="I742" i="1"/>
  <c r="J742" i="1"/>
  <c r="A743" i="1"/>
  <c r="B743" i="1"/>
  <c r="C743" i="1"/>
  <c r="E743" i="1"/>
  <c r="I743" i="1"/>
  <c r="J743" i="1"/>
  <c r="A744" i="1"/>
  <c r="B744" i="1"/>
  <c r="C744" i="1"/>
  <c r="E744" i="1"/>
  <c r="I744" i="1"/>
  <c r="J744" i="1"/>
  <c r="A745" i="1"/>
  <c r="B745" i="1"/>
  <c r="C745" i="1"/>
  <c r="E745" i="1"/>
  <c r="I745" i="1"/>
  <c r="J745" i="1"/>
  <c r="A746" i="1"/>
  <c r="B746" i="1"/>
  <c r="C746" i="1"/>
  <c r="D746" i="1"/>
  <c r="E746" i="1" s="1"/>
  <c r="I746" i="1"/>
  <c r="J746" i="1"/>
  <c r="A747" i="1"/>
  <c r="B747" i="1"/>
  <c r="C747" i="1"/>
  <c r="D747" i="1"/>
  <c r="E747" i="1" s="1"/>
  <c r="I747" i="1"/>
  <c r="J747" i="1"/>
  <c r="A748" i="1"/>
  <c r="B748" i="1"/>
  <c r="C748" i="1"/>
  <c r="E748" i="1"/>
  <c r="I748" i="1"/>
  <c r="J748" i="1"/>
  <c r="A749" i="1"/>
  <c r="B749" i="1"/>
  <c r="C749" i="1"/>
  <c r="E749" i="1"/>
  <c r="I749" i="1"/>
  <c r="J749" i="1"/>
  <c r="A750" i="1"/>
  <c r="B750" i="1"/>
  <c r="C750" i="1"/>
  <c r="E750" i="1"/>
  <c r="I750" i="1"/>
  <c r="J750" i="1"/>
  <c r="A751" i="1"/>
  <c r="B751" i="1"/>
  <c r="C751" i="1"/>
  <c r="E751" i="1"/>
  <c r="I751" i="1"/>
  <c r="J751" i="1"/>
  <c r="A752" i="1"/>
  <c r="B752" i="1"/>
  <c r="C752" i="1"/>
  <c r="E752" i="1"/>
  <c r="I752" i="1"/>
  <c r="J752" i="1"/>
  <c r="A753" i="1"/>
  <c r="B753" i="1"/>
  <c r="C753" i="1"/>
  <c r="E753" i="1"/>
  <c r="I753" i="1"/>
  <c r="J753" i="1"/>
  <c r="A754" i="1"/>
  <c r="B754" i="1"/>
  <c r="C754" i="1"/>
  <c r="E754" i="1"/>
  <c r="I754" i="1"/>
  <c r="J754" i="1"/>
  <c r="A755" i="1"/>
  <c r="B755" i="1"/>
  <c r="C755" i="1"/>
  <c r="E755" i="1"/>
  <c r="I755" i="1"/>
  <c r="J755" i="1"/>
  <c r="A756" i="1"/>
  <c r="B756" i="1"/>
  <c r="C756" i="1"/>
  <c r="E756" i="1"/>
  <c r="I756" i="1"/>
  <c r="J756" i="1"/>
  <c r="A757" i="1"/>
  <c r="B757" i="1"/>
  <c r="C757" i="1"/>
  <c r="D757" i="1"/>
  <c r="I757" i="1"/>
  <c r="J757" i="1"/>
  <c r="A758" i="1"/>
  <c r="B758" i="1"/>
  <c r="C758" i="1"/>
  <c r="D758" i="1"/>
  <c r="I758" i="1"/>
  <c r="J758" i="1"/>
  <c r="A759" i="1"/>
  <c r="B759" i="1"/>
  <c r="C759" i="1"/>
  <c r="D759" i="1"/>
  <c r="I759" i="1"/>
  <c r="J759" i="1"/>
  <c r="A760" i="1"/>
  <c r="B760" i="1"/>
  <c r="C760" i="1"/>
  <c r="D760" i="1"/>
  <c r="I760" i="1"/>
  <c r="J760" i="1"/>
  <c r="A761" i="1"/>
  <c r="B761" i="1"/>
  <c r="C761" i="1"/>
  <c r="D761" i="1"/>
  <c r="I761" i="1"/>
  <c r="J761" i="1"/>
  <c r="A762" i="1"/>
  <c r="B762" i="1"/>
  <c r="C762" i="1"/>
  <c r="D762" i="1"/>
  <c r="I762" i="1"/>
  <c r="J762" i="1"/>
  <c r="A763" i="1"/>
  <c r="B763" i="1"/>
  <c r="C763" i="1"/>
  <c r="D763" i="1"/>
  <c r="I763" i="1"/>
  <c r="J763" i="1"/>
  <c r="A764" i="1"/>
  <c r="B764" i="1"/>
  <c r="C764" i="1"/>
  <c r="D764" i="1"/>
  <c r="I764" i="1"/>
  <c r="J764" i="1"/>
  <c r="A765" i="1"/>
  <c r="B765" i="1"/>
  <c r="C765" i="1"/>
  <c r="D765" i="1"/>
  <c r="I765" i="1"/>
  <c r="J765" i="1"/>
  <c r="A766" i="1"/>
  <c r="B766" i="1"/>
  <c r="C766" i="1"/>
  <c r="D766" i="1"/>
  <c r="I766" i="1"/>
  <c r="J766" i="1"/>
  <c r="A767" i="1"/>
  <c r="B767" i="1"/>
  <c r="C767" i="1"/>
  <c r="D767" i="1"/>
  <c r="I767" i="1"/>
  <c r="J767" i="1"/>
  <c r="A768" i="1"/>
  <c r="B768" i="1"/>
  <c r="C768" i="1"/>
  <c r="D768" i="1"/>
  <c r="I768" i="1"/>
  <c r="A769" i="1"/>
  <c r="B769" i="1"/>
  <c r="C769" i="1"/>
  <c r="D769" i="1"/>
  <c r="I769" i="1"/>
  <c r="A770" i="1"/>
  <c r="B770" i="1"/>
  <c r="C770" i="1"/>
  <c r="D770" i="1"/>
  <c r="I770" i="1"/>
  <c r="J770" i="1"/>
  <c r="A771" i="1"/>
  <c r="B771" i="1"/>
  <c r="C771" i="1"/>
  <c r="D771" i="1"/>
  <c r="E771" i="1" s="1"/>
  <c r="I771" i="1"/>
  <c r="J771" i="1"/>
  <c r="A772" i="1"/>
  <c r="B772" i="1"/>
  <c r="C772" i="1"/>
  <c r="D772" i="1"/>
  <c r="I772" i="1"/>
  <c r="J772" i="1"/>
  <c r="A773" i="1"/>
  <c r="B773" i="1"/>
  <c r="C773" i="1"/>
  <c r="D773" i="1"/>
  <c r="E773" i="1" s="1"/>
  <c r="I773" i="1"/>
  <c r="J773" i="1"/>
  <c r="A774" i="1"/>
  <c r="B774" i="1"/>
  <c r="C774" i="1"/>
  <c r="D774" i="1"/>
  <c r="I774" i="1"/>
  <c r="J774" i="1"/>
  <c r="A775" i="1"/>
  <c r="B775" i="1"/>
  <c r="C775" i="1"/>
  <c r="D775" i="1"/>
  <c r="E775" i="1" s="1"/>
  <c r="I775" i="1"/>
  <c r="J775" i="1"/>
  <c r="A776" i="1"/>
  <c r="B776" i="1"/>
  <c r="C776" i="1"/>
  <c r="D776" i="1"/>
  <c r="I776" i="1"/>
  <c r="J776" i="1"/>
  <c r="A777" i="1"/>
  <c r="B777" i="1"/>
  <c r="C777" i="1"/>
  <c r="D777" i="1"/>
  <c r="E777" i="1"/>
  <c r="I777" i="1"/>
  <c r="J777" i="1"/>
  <c r="A778" i="1"/>
  <c r="B778" i="1"/>
  <c r="C778" i="1"/>
  <c r="D778" i="1"/>
  <c r="I778" i="1"/>
  <c r="J778" i="1"/>
  <c r="A779" i="1"/>
  <c r="B779" i="1"/>
  <c r="C779" i="1"/>
  <c r="D779" i="1"/>
  <c r="E779" i="1" s="1"/>
  <c r="I779" i="1"/>
  <c r="J779" i="1"/>
  <c r="A780" i="1"/>
  <c r="B780" i="1"/>
  <c r="C780" i="1"/>
  <c r="D780" i="1"/>
  <c r="I780" i="1"/>
  <c r="J780" i="1"/>
  <c r="A781" i="1"/>
  <c r="B781" i="1"/>
  <c r="C781" i="1"/>
  <c r="D781" i="1"/>
  <c r="E781" i="1" s="1"/>
  <c r="I781" i="1"/>
  <c r="J781" i="1"/>
  <c r="A782" i="1"/>
  <c r="B782" i="1"/>
  <c r="C782" i="1"/>
  <c r="D782" i="1"/>
  <c r="I782" i="1"/>
  <c r="J782" i="1"/>
  <c r="A783" i="1"/>
  <c r="B783" i="1"/>
  <c r="C783" i="1"/>
  <c r="D783" i="1"/>
  <c r="I783" i="1"/>
  <c r="J783" i="1"/>
  <c r="A784" i="1"/>
  <c r="B784" i="1"/>
  <c r="C784" i="1"/>
  <c r="D784" i="1"/>
  <c r="E784" i="1" s="1"/>
  <c r="I784" i="1"/>
  <c r="J784" i="1"/>
  <c r="A785" i="1"/>
  <c r="B785" i="1"/>
  <c r="C785" i="1"/>
  <c r="D785" i="1"/>
  <c r="I785" i="1"/>
  <c r="J785" i="1"/>
  <c r="A786" i="1"/>
  <c r="B786" i="1"/>
  <c r="C786" i="1"/>
  <c r="D786" i="1"/>
  <c r="I786" i="1"/>
  <c r="J786" i="1"/>
  <c r="A787" i="1"/>
  <c r="B787" i="1"/>
  <c r="C787" i="1"/>
  <c r="D787" i="1"/>
  <c r="I787" i="1"/>
  <c r="J787" i="1"/>
  <c r="A788" i="1"/>
  <c r="B788" i="1"/>
  <c r="C788" i="1"/>
  <c r="D788" i="1"/>
  <c r="I788" i="1"/>
  <c r="J788" i="1"/>
  <c r="A789" i="1"/>
  <c r="B789" i="1"/>
  <c r="C789" i="1"/>
  <c r="D789" i="1"/>
  <c r="I789" i="1"/>
  <c r="J789" i="1"/>
  <c r="A790" i="1"/>
  <c r="B790" i="1"/>
  <c r="C790" i="1"/>
  <c r="D790" i="1"/>
  <c r="I790" i="1"/>
  <c r="J790" i="1"/>
  <c r="A791" i="1"/>
  <c r="B791" i="1"/>
  <c r="C791" i="1"/>
  <c r="D791" i="1"/>
  <c r="I791" i="1"/>
  <c r="J791" i="1"/>
  <c r="A792" i="1"/>
  <c r="B792" i="1"/>
  <c r="C792" i="1"/>
  <c r="D792" i="1"/>
  <c r="I792" i="1"/>
  <c r="J792" i="1"/>
  <c r="A793" i="1"/>
  <c r="B793" i="1"/>
  <c r="C793" i="1"/>
  <c r="D793" i="1"/>
  <c r="I793" i="1"/>
  <c r="J793" i="1"/>
  <c r="A794" i="1"/>
  <c r="B794" i="1"/>
  <c r="C794" i="1"/>
  <c r="D794" i="1"/>
  <c r="I794" i="1"/>
  <c r="J794" i="1"/>
  <c r="A795" i="1"/>
  <c r="B795" i="1"/>
  <c r="C795" i="1"/>
  <c r="D795" i="1"/>
  <c r="I795" i="1"/>
  <c r="J795" i="1"/>
  <c r="A796" i="1"/>
  <c r="B796" i="1"/>
  <c r="C796" i="1"/>
  <c r="D796" i="1"/>
  <c r="I796" i="1"/>
  <c r="J796" i="1"/>
  <c r="A797" i="1"/>
  <c r="B797" i="1"/>
  <c r="C797" i="1"/>
  <c r="D797" i="1"/>
  <c r="I797" i="1"/>
  <c r="J797" i="1"/>
  <c r="A798" i="1"/>
  <c r="B798" i="1"/>
  <c r="C798" i="1"/>
  <c r="D798" i="1"/>
  <c r="I798" i="1"/>
  <c r="J798" i="1"/>
  <c r="A799" i="1"/>
  <c r="B799" i="1"/>
  <c r="C799" i="1"/>
  <c r="D799" i="1"/>
  <c r="I799" i="1"/>
  <c r="J799" i="1"/>
  <c r="A800" i="1"/>
  <c r="B800" i="1"/>
  <c r="C800" i="1"/>
  <c r="D800" i="1"/>
  <c r="I800" i="1"/>
  <c r="J800" i="1"/>
  <c r="A801" i="1"/>
  <c r="B801" i="1"/>
  <c r="C801" i="1"/>
  <c r="D801" i="1"/>
  <c r="I801" i="1"/>
  <c r="J801" i="1"/>
  <c r="A802" i="1"/>
  <c r="B802" i="1"/>
  <c r="C802" i="1"/>
  <c r="D802" i="1"/>
  <c r="I802" i="1"/>
  <c r="J802" i="1"/>
  <c r="A803" i="1"/>
  <c r="B803" i="1"/>
  <c r="C803" i="1"/>
  <c r="D803" i="1"/>
  <c r="I803" i="1"/>
  <c r="J803" i="1"/>
  <c r="A804" i="1"/>
  <c r="B804" i="1"/>
  <c r="C804" i="1"/>
  <c r="D804" i="1"/>
  <c r="I804" i="1"/>
  <c r="J804" i="1"/>
  <c r="A805" i="1"/>
  <c r="B805" i="1"/>
  <c r="C805" i="1"/>
  <c r="D805" i="1"/>
  <c r="I805" i="1"/>
  <c r="J805" i="1"/>
  <c r="A806" i="1"/>
  <c r="B806" i="1"/>
  <c r="C806" i="1"/>
  <c r="D806" i="1"/>
  <c r="I806" i="1"/>
  <c r="J806" i="1"/>
  <c r="A807" i="1"/>
  <c r="B807" i="1"/>
  <c r="C807" i="1"/>
  <c r="D807" i="1"/>
  <c r="I807" i="1"/>
  <c r="J807" i="1"/>
  <c r="A808" i="1"/>
  <c r="B808" i="1"/>
  <c r="C808" i="1"/>
  <c r="D808" i="1"/>
  <c r="I808" i="1"/>
  <c r="J808" i="1"/>
  <c r="A809" i="1"/>
  <c r="B809" i="1"/>
  <c r="C809" i="1"/>
  <c r="D809" i="1"/>
  <c r="I809" i="1"/>
  <c r="J809" i="1"/>
  <c r="A810" i="1"/>
  <c r="B810" i="1"/>
  <c r="C810" i="1"/>
  <c r="D810" i="1"/>
  <c r="I810" i="1"/>
  <c r="J810" i="1"/>
  <c r="A811" i="1"/>
  <c r="B811" i="1"/>
  <c r="C811" i="1"/>
  <c r="D811" i="1"/>
  <c r="I811" i="1"/>
  <c r="J811" i="1"/>
  <c r="A812" i="1"/>
  <c r="B812" i="1"/>
  <c r="C812" i="1"/>
  <c r="D812" i="1"/>
  <c r="I812" i="1"/>
  <c r="J812" i="1"/>
  <c r="A813" i="1"/>
  <c r="B813" i="1"/>
  <c r="C813" i="1"/>
  <c r="E813" i="1"/>
  <c r="I813" i="1"/>
  <c r="J813" i="1"/>
  <c r="A814" i="1"/>
  <c r="B814" i="1"/>
  <c r="C814" i="1"/>
  <c r="E814" i="1"/>
  <c r="I814" i="1"/>
  <c r="J814" i="1"/>
  <c r="A815" i="1"/>
  <c r="B815" i="1"/>
  <c r="C815" i="1"/>
  <c r="E815" i="1"/>
  <c r="I815" i="1"/>
  <c r="J815" i="1"/>
  <c r="A816" i="1"/>
  <c r="B816" i="1"/>
  <c r="C816" i="1"/>
  <c r="E816" i="1"/>
  <c r="I816" i="1"/>
  <c r="J816" i="1"/>
  <c r="A817" i="1"/>
  <c r="B817" i="1"/>
  <c r="C817" i="1"/>
  <c r="E817" i="1"/>
  <c r="I817" i="1"/>
  <c r="J817" i="1"/>
  <c r="A818" i="1"/>
  <c r="B818" i="1"/>
  <c r="C818" i="1"/>
  <c r="E818" i="1"/>
  <c r="I818" i="1"/>
  <c r="J818" i="1"/>
  <c r="A819" i="1"/>
  <c r="B819" i="1"/>
  <c r="C819" i="1"/>
  <c r="E819" i="1"/>
  <c r="I819" i="1"/>
  <c r="J819" i="1"/>
  <c r="A820" i="1"/>
  <c r="B820" i="1"/>
  <c r="C820" i="1"/>
  <c r="E820" i="1"/>
  <c r="I820" i="1"/>
  <c r="J820" i="1"/>
  <c r="A821" i="1"/>
  <c r="B821" i="1"/>
  <c r="C821" i="1"/>
  <c r="E821" i="1"/>
  <c r="I821" i="1"/>
  <c r="J821" i="1"/>
  <c r="A822" i="1"/>
  <c r="B822" i="1"/>
  <c r="C822" i="1"/>
  <c r="E822" i="1"/>
  <c r="I822" i="1"/>
  <c r="J822" i="1"/>
  <c r="A823" i="1"/>
  <c r="B823" i="1"/>
  <c r="C823" i="1"/>
  <c r="E823" i="1"/>
  <c r="I823" i="1"/>
  <c r="J823" i="1"/>
  <c r="A824" i="1"/>
  <c r="B824" i="1"/>
  <c r="C824" i="1"/>
  <c r="E824" i="1"/>
  <c r="I824" i="1"/>
  <c r="J824" i="1"/>
  <c r="A825" i="1"/>
  <c r="B825" i="1"/>
  <c r="C825" i="1"/>
  <c r="E825" i="1"/>
  <c r="I825" i="1"/>
  <c r="J825" i="1"/>
  <c r="A826" i="1"/>
  <c r="B826" i="1"/>
  <c r="C826" i="1"/>
  <c r="E826" i="1"/>
  <c r="I826" i="1"/>
  <c r="J826" i="1"/>
  <c r="A827" i="1"/>
  <c r="B827" i="1"/>
  <c r="C827" i="1"/>
  <c r="E827" i="1"/>
  <c r="I827" i="1"/>
  <c r="J827" i="1"/>
  <c r="A828" i="1"/>
  <c r="B828" i="1"/>
  <c r="C828" i="1"/>
  <c r="E828" i="1"/>
  <c r="I828" i="1"/>
  <c r="J828" i="1"/>
  <c r="A829" i="1"/>
  <c r="B829" i="1"/>
  <c r="C829" i="1"/>
  <c r="E829" i="1"/>
  <c r="I829" i="1"/>
  <c r="J829" i="1"/>
  <c r="A830" i="1"/>
  <c r="B830" i="1"/>
  <c r="C830" i="1"/>
  <c r="E830" i="1"/>
  <c r="I830" i="1"/>
  <c r="J830" i="1"/>
  <c r="A831" i="1"/>
  <c r="B831" i="1"/>
  <c r="C831" i="1"/>
  <c r="D831" i="1"/>
  <c r="I831" i="1"/>
  <c r="J831" i="1"/>
  <c r="A832" i="1"/>
  <c r="B832" i="1"/>
  <c r="C832" i="1"/>
  <c r="D832" i="1"/>
  <c r="I832" i="1"/>
  <c r="J832" i="1"/>
  <c r="A833" i="1"/>
  <c r="B833" i="1"/>
  <c r="C833" i="1"/>
  <c r="D833" i="1"/>
  <c r="I833" i="1"/>
  <c r="J833" i="1"/>
  <c r="A834" i="1"/>
  <c r="B834" i="1"/>
  <c r="C834" i="1"/>
  <c r="D834" i="1"/>
  <c r="E834" i="1"/>
  <c r="I834" i="1"/>
  <c r="J834" i="1"/>
  <c r="A835" i="1"/>
  <c r="B835" i="1"/>
  <c r="C835" i="1"/>
  <c r="D835" i="1"/>
  <c r="I835" i="1"/>
  <c r="J835" i="1"/>
  <c r="A836" i="1"/>
  <c r="B836" i="1"/>
  <c r="C836" i="1"/>
  <c r="D836" i="1"/>
  <c r="E836" i="1" s="1"/>
  <c r="I836" i="1"/>
  <c r="J836" i="1"/>
  <c r="A837" i="1"/>
  <c r="B837" i="1"/>
  <c r="C837" i="1"/>
  <c r="D837" i="1"/>
  <c r="I837" i="1"/>
  <c r="J837" i="1"/>
  <c r="A838" i="1"/>
  <c r="B838" i="1"/>
  <c r="C838" i="1"/>
  <c r="D838" i="1"/>
  <c r="E838" i="1" s="1"/>
  <c r="I838" i="1"/>
  <c r="J838" i="1"/>
  <c r="A839" i="1"/>
  <c r="B839" i="1"/>
  <c r="C839" i="1"/>
  <c r="D839" i="1"/>
  <c r="I839" i="1"/>
  <c r="J839" i="1"/>
  <c r="A840" i="1"/>
  <c r="B840" i="1"/>
  <c r="C840" i="1"/>
  <c r="D840" i="1"/>
  <c r="E840" i="1" s="1"/>
  <c r="I840" i="1"/>
  <c r="J840" i="1"/>
  <c r="A841" i="1"/>
  <c r="B841" i="1"/>
  <c r="C841" i="1"/>
  <c r="D841" i="1"/>
  <c r="I841" i="1"/>
  <c r="J841" i="1"/>
  <c r="A842" i="1"/>
  <c r="B842" i="1"/>
  <c r="C842" i="1"/>
  <c r="D842" i="1"/>
  <c r="E842" i="1"/>
  <c r="I842" i="1"/>
  <c r="J842" i="1"/>
  <c r="A843" i="1"/>
  <c r="B843" i="1"/>
  <c r="C843" i="1"/>
  <c r="D843" i="1"/>
  <c r="I843" i="1"/>
  <c r="J843" i="1"/>
  <c r="A844" i="1"/>
  <c r="B844" i="1"/>
  <c r="C844" i="1"/>
  <c r="D844" i="1"/>
  <c r="E844" i="1" s="1"/>
  <c r="I844" i="1"/>
  <c r="J844" i="1"/>
  <c r="A845" i="1"/>
  <c r="B845" i="1"/>
  <c r="C845" i="1"/>
  <c r="D845" i="1"/>
  <c r="I845" i="1"/>
  <c r="J845" i="1"/>
  <c r="A846" i="1"/>
  <c r="B846" i="1"/>
  <c r="C846" i="1"/>
  <c r="D846" i="1"/>
  <c r="E846" i="1" s="1"/>
  <c r="I846" i="1"/>
  <c r="J846" i="1"/>
  <c r="A847" i="1"/>
  <c r="B847" i="1"/>
  <c r="C847" i="1"/>
  <c r="D847" i="1"/>
  <c r="I847" i="1"/>
  <c r="J847" i="1"/>
  <c r="A848" i="1"/>
  <c r="B848" i="1"/>
  <c r="C848" i="1"/>
  <c r="D848" i="1"/>
  <c r="E848" i="1" s="1"/>
  <c r="I848" i="1"/>
  <c r="J848" i="1"/>
  <c r="A849" i="1"/>
  <c r="B849" i="1"/>
  <c r="C849" i="1"/>
  <c r="D849" i="1"/>
  <c r="I849" i="1"/>
  <c r="J849" i="1"/>
  <c r="A850" i="1"/>
  <c r="B850" i="1"/>
  <c r="C850" i="1"/>
  <c r="D850" i="1"/>
  <c r="E850" i="1" s="1"/>
  <c r="I850" i="1"/>
  <c r="J850" i="1"/>
  <c r="A851" i="1"/>
  <c r="B851" i="1"/>
  <c r="C851" i="1"/>
  <c r="D851" i="1"/>
  <c r="I851" i="1"/>
  <c r="J851" i="1"/>
  <c r="A852" i="1"/>
  <c r="B852" i="1"/>
  <c r="C852" i="1"/>
  <c r="D852" i="1"/>
  <c r="E852" i="1" s="1"/>
  <c r="I852" i="1"/>
  <c r="J852" i="1"/>
  <c r="A853" i="1"/>
  <c r="B853" i="1"/>
  <c r="C853" i="1"/>
  <c r="D853" i="1"/>
  <c r="I853" i="1"/>
  <c r="J853" i="1"/>
  <c r="A854" i="1"/>
  <c r="B854" i="1"/>
  <c r="C854" i="1"/>
  <c r="D854" i="1"/>
  <c r="E854" i="1"/>
  <c r="I854" i="1"/>
  <c r="J854" i="1"/>
  <c r="A855" i="1"/>
  <c r="B855" i="1"/>
  <c r="C855" i="1"/>
  <c r="D855" i="1"/>
  <c r="I855" i="1"/>
  <c r="J855" i="1"/>
  <c r="A856" i="1"/>
  <c r="B856" i="1"/>
  <c r="C856" i="1"/>
  <c r="D856" i="1"/>
  <c r="E856" i="1" s="1"/>
  <c r="I856" i="1"/>
  <c r="J856" i="1"/>
  <c r="A857" i="1"/>
  <c r="B857" i="1"/>
  <c r="C857" i="1"/>
  <c r="D857" i="1"/>
  <c r="I857" i="1"/>
  <c r="J857" i="1"/>
  <c r="A858" i="1"/>
  <c r="B858" i="1"/>
  <c r="C858" i="1"/>
  <c r="D858" i="1"/>
  <c r="E858" i="1" s="1"/>
  <c r="I858" i="1"/>
  <c r="J858" i="1"/>
  <c r="A859" i="1"/>
  <c r="B859" i="1"/>
  <c r="C859" i="1"/>
  <c r="D859" i="1"/>
  <c r="I859" i="1"/>
  <c r="J859" i="1"/>
  <c r="A860" i="1"/>
  <c r="B860" i="1"/>
  <c r="C860" i="1"/>
  <c r="D860" i="1"/>
  <c r="E860" i="1" s="1"/>
  <c r="I860" i="1"/>
  <c r="J860" i="1"/>
  <c r="A861" i="1"/>
  <c r="B861" i="1"/>
  <c r="C861" i="1"/>
  <c r="D861" i="1"/>
  <c r="I861" i="1"/>
  <c r="J861" i="1"/>
  <c r="A862" i="1"/>
  <c r="B862" i="1"/>
  <c r="C862" i="1"/>
  <c r="D862" i="1"/>
  <c r="E862" i="1"/>
  <c r="I862" i="1"/>
  <c r="J862" i="1"/>
  <c r="A863" i="1"/>
  <c r="B863" i="1"/>
  <c r="C863" i="1"/>
  <c r="D863" i="1"/>
  <c r="I863" i="1"/>
  <c r="J863" i="1"/>
  <c r="A864" i="1"/>
  <c r="B864" i="1"/>
  <c r="C864" i="1"/>
  <c r="D864" i="1"/>
  <c r="E864" i="1" s="1"/>
  <c r="I864" i="1"/>
  <c r="J864" i="1"/>
  <c r="A865" i="1"/>
  <c r="B865" i="1"/>
  <c r="C865" i="1"/>
  <c r="D865" i="1"/>
  <c r="I865" i="1"/>
  <c r="J865" i="1"/>
  <c r="A866" i="1"/>
  <c r="B866" i="1"/>
  <c r="C866" i="1"/>
  <c r="D866" i="1"/>
  <c r="E866" i="1"/>
  <c r="I866" i="1"/>
  <c r="J866" i="1"/>
  <c r="A867" i="1"/>
  <c r="B867" i="1"/>
  <c r="C867" i="1"/>
  <c r="D867" i="1"/>
  <c r="I867" i="1"/>
  <c r="J867" i="1"/>
  <c r="A868" i="1"/>
  <c r="B868" i="1"/>
  <c r="C868" i="1"/>
  <c r="D868" i="1"/>
  <c r="E868" i="1" s="1"/>
  <c r="I868" i="1"/>
  <c r="J868" i="1"/>
  <c r="A869" i="1"/>
  <c r="B869" i="1"/>
  <c r="C869" i="1"/>
  <c r="D869" i="1"/>
  <c r="I869" i="1"/>
  <c r="J869" i="1"/>
  <c r="A870" i="1"/>
  <c r="B870" i="1"/>
  <c r="C870" i="1"/>
  <c r="D870" i="1"/>
  <c r="E870" i="1" s="1"/>
  <c r="I870" i="1"/>
  <c r="J870" i="1"/>
  <c r="A871" i="1"/>
  <c r="B871" i="1"/>
  <c r="C871" i="1"/>
  <c r="D871" i="1"/>
  <c r="I871" i="1"/>
  <c r="J871" i="1"/>
  <c r="A872" i="1"/>
  <c r="B872" i="1"/>
  <c r="C872" i="1"/>
  <c r="D872" i="1"/>
  <c r="E872" i="1" s="1"/>
  <c r="I872" i="1"/>
  <c r="J872" i="1"/>
  <c r="A873" i="1"/>
  <c r="B873" i="1"/>
  <c r="C873" i="1"/>
  <c r="D873" i="1"/>
  <c r="I873" i="1"/>
  <c r="J873" i="1"/>
  <c r="A874" i="1"/>
  <c r="B874" i="1"/>
  <c r="C874" i="1"/>
  <c r="D874" i="1"/>
  <c r="E874" i="1"/>
  <c r="I874" i="1"/>
  <c r="J874" i="1"/>
  <c r="A875" i="1"/>
  <c r="B875" i="1"/>
  <c r="C875" i="1"/>
  <c r="D875" i="1"/>
  <c r="I875" i="1"/>
  <c r="J875" i="1"/>
  <c r="A876" i="1"/>
  <c r="B876" i="1"/>
  <c r="C876" i="1"/>
  <c r="D876" i="1"/>
  <c r="E876" i="1" s="1"/>
  <c r="I876" i="1"/>
  <c r="J876" i="1"/>
  <c r="A877" i="1"/>
  <c r="B877" i="1"/>
  <c r="C877" i="1"/>
  <c r="D877" i="1"/>
  <c r="I877" i="1"/>
  <c r="J877" i="1"/>
  <c r="A878" i="1"/>
  <c r="B878" i="1"/>
  <c r="C878" i="1"/>
  <c r="D878" i="1"/>
  <c r="E878" i="1" s="1"/>
  <c r="I878" i="1"/>
  <c r="J878" i="1"/>
  <c r="A879" i="1"/>
  <c r="B879" i="1"/>
  <c r="C879" i="1"/>
  <c r="D879" i="1"/>
  <c r="I879" i="1"/>
  <c r="J879" i="1"/>
  <c r="A880" i="1"/>
  <c r="B880" i="1"/>
  <c r="C880" i="1"/>
  <c r="D880" i="1"/>
  <c r="E880" i="1" s="1"/>
  <c r="I880" i="1"/>
  <c r="J880" i="1"/>
  <c r="A881" i="1"/>
  <c r="B881" i="1"/>
  <c r="C881" i="1"/>
  <c r="D881" i="1"/>
  <c r="I881" i="1"/>
  <c r="J881" i="1"/>
  <c r="A882" i="1"/>
  <c r="B882" i="1"/>
  <c r="C882" i="1"/>
  <c r="D882" i="1"/>
  <c r="E882" i="1" s="1"/>
  <c r="I882" i="1"/>
  <c r="J882" i="1"/>
  <c r="A883" i="1"/>
  <c r="B883" i="1"/>
  <c r="C883" i="1"/>
  <c r="D883" i="1"/>
  <c r="I883" i="1"/>
  <c r="J883" i="1"/>
  <c r="A884" i="1"/>
  <c r="B884" i="1"/>
  <c r="C884" i="1"/>
  <c r="D884" i="1"/>
  <c r="E884" i="1" s="1"/>
  <c r="I884" i="1"/>
  <c r="J884" i="1"/>
  <c r="A885" i="1"/>
  <c r="B885" i="1"/>
  <c r="C885" i="1"/>
  <c r="D885" i="1"/>
  <c r="I885" i="1"/>
  <c r="J885" i="1"/>
  <c r="A886" i="1"/>
  <c r="B886" i="1"/>
  <c r="C886" i="1"/>
  <c r="D886" i="1"/>
  <c r="E886" i="1"/>
  <c r="I886" i="1"/>
  <c r="J886" i="1"/>
  <c r="A887" i="1"/>
  <c r="B887" i="1"/>
  <c r="C887" i="1"/>
  <c r="D887" i="1"/>
  <c r="I887" i="1"/>
  <c r="J887" i="1"/>
  <c r="A888" i="1"/>
  <c r="B888" i="1"/>
  <c r="C888" i="1"/>
  <c r="D888" i="1"/>
  <c r="E888" i="1" s="1"/>
  <c r="I888" i="1"/>
  <c r="J888" i="1"/>
  <c r="A889" i="1"/>
  <c r="B889" i="1"/>
  <c r="C889" i="1"/>
  <c r="D889" i="1"/>
  <c r="I889" i="1"/>
  <c r="J889" i="1"/>
  <c r="A890" i="1"/>
  <c r="B890" i="1"/>
  <c r="C890" i="1"/>
  <c r="D890" i="1"/>
  <c r="E890" i="1" s="1"/>
  <c r="I890" i="1"/>
  <c r="J890" i="1"/>
  <c r="A891" i="1"/>
  <c r="B891" i="1"/>
  <c r="C891" i="1"/>
  <c r="D891" i="1"/>
  <c r="I891" i="1"/>
  <c r="J891" i="1"/>
  <c r="A892" i="1"/>
  <c r="B892" i="1"/>
  <c r="C892" i="1"/>
  <c r="D892" i="1"/>
  <c r="E892" i="1" s="1"/>
  <c r="I892" i="1"/>
  <c r="J892" i="1"/>
  <c r="A893" i="1"/>
  <c r="B893" i="1"/>
  <c r="C893" i="1"/>
  <c r="D893" i="1"/>
  <c r="I893" i="1"/>
  <c r="J893" i="1"/>
  <c r="A894" i="1"/>
  <c r="B894" i="1"/>
  <c r="C894" i="1"/>
  <c r="D894" i="1"/>
  <c r="E894" i="1"/>
  <c r="I894" i="1"/>
  <c r="J894" i="1"/>
  <c r="A895" i="1"/>
  <c r="B895" i="1"/>
  <c r="C895" i="1"/>
  <c r="D895" i="1"/>
  <c r="I895" i="1"/>
  <c r="J895" i="1"/>
  <c r="A896" i="1"/>
  <c r="B896" i="1"/>
  <c r="C896" i="1"/>
  <c r="D896" i="1"/>
  <c r="E896" i="1" s="1"/>
  <c r="I896" i="1"/>
  <c r="J896" i="1"/>
  <c r="A897" i="1"/>
  <c r="B897" i="1"/>
  <c r="C897" i="1"/>
  <c r="D897" i="1"/>
  <c r="I897" i="1"/>
  <c r="J897" i="1"/>
  <c r="A898" i="1"/>
  <c r="B898" i="1"/>
  <c r="C898" i="1"/>
  <c r="D898" i="1"/>
  <c r="E898" i="1"/>
  <c r="I898" i="1"/>
  <c r="J898" i="1"/>
  <c r="A899" i="1"/>
  <c r="B899" i="1"/>
  <c r="C899" i="1"/>
  <c r="D899" i="1"/>
  <c r="I899" i="1"/>
  <c r="J899" i="1"/>
  <c r="A900" i="1"/>
  <c r="B900" i="1"/>
  <c r="C900" i="1"/>
  <c r="D900" i="1"/>
  <c r="E900" i="1" s="1"/>
  <c r="I900" i="1"/>
  <c r="J900" i="1"/>
  <c r="A901" i="1"/>
  <c r="B901" i="1"/>
  <c r="C901" i="1"/>
  <c r="D901" i="1"/>
  <c r="I901" i="1"/>
  <c r="J901" i="1"/>
  <c r="A902" i="1"/>
  <c r="B902" i="1"/>
  <c r="C902" i="1"/>
  <c r="D902" i="1"/>
  <c r="E902" i="1" s="1"/>
  <c r="I902" i="1"/>
  <c r="J902" i="1"/>
  <c r="A903" i="1"/>
  <c r="B903" i="1"/>
  <c r="C903" i="1"/>
  <c r="D903" i="1"/>
  <c r="I903" i="1"/>
  <c r="J903" i="1"/>
  <c r="A904" i="1"/>
  <c r="B904" i="1"/>
  <c r="C904" i="1"/>
  <c r="D904" i="1"/>
  <c r="E904" i="1" s="1"/>
  <c r="I904" i="1"/>
  <c r="J904" i="1"/>
  <c r="A905" i="1"/>
  <c r="B905" i="1"/>
  <c r="C905" i="1"/>
  <c r="D905" i="1"/>
  <c r="I905" i="1"/>
  <c r="J905" i="1"/>
  <c r="A906" i="1"/>
  <c r="B906" i="1"/>
  <c r="C906" i="1"/>
  <c r="D906" i="1"/>
  <c r="E906" i="1"/>
  <c r="I906" i="1"/>
  <c r="J906" i="1"/>
  <c r="A907" i="1"/>
  <c r="B907" i="1"/>
  <c r="C907" i="1"/>
  <c r="D907" i="1"/>
  <c r="I907" i="1"/>
  <c r="J907" i="1"/>
  <c r="A908" i="1"/>
  <c r="B908" i="1"/>
  <c r="C908" i="1"/>
  <c r="D908" i="1"/>
  <c r="E908" i="1" s="1"/>
  <c r="I908" i="1"/>
  <c r="J908" i="1"/>
  <c r="A909" i="1"/>
  <c r="B909" i="1"/>
  <c r="C909" i="1"/>
  <c r="D909" i="1"/>
  <c r="I909" i="1"/>
  <c r="J909" i="1"/>
  <c r="A910" i="1"/>
  <c r="B910" i="1"/>
  <c r="C910" i="1"/>
  <c r="D910" i="1"/>
  <c r="E910" i="1" s="1"/>
  <c r="I910" i="1"/>
  <c r="J910" i="1"/>
  <c r="A911" i="1"/>
  <c r="B911" i="1"/>
  <c r="C911" i="1"/>
  <c r="D911" i="1"/>
  <c r="I911" i="1"/>
  <c r="J911" i="1"/>
  <c r="A912" i="1"/>
  <c r="B912" i="1"/>
  <c r="C912" i="1"/>
  <c r="D912" i="1"/>
  <c r="E912" i="1" s="1"/>
  <c r="I912" i="1"/>
  <c r="J912" i="1"/>
  <c r="A913" i="1"/>
  <c r="B913" i="1"/>
  <c r="C913" i="1"/>
  <c r="D913" i="1"/>
  <c r="I913" i="1"/>
  <c r="J913" i="1"/>
  <c r="A914" i="1"/>
  <c r="B914" i="1"/>
  <c r="C914" i="1"/>
  <c r="D914" i="1"/>
  <c r="E914" i="1" s="1"/>
  <c r="I914" i="1"/>
  <c r="J914" i="1"/>
  <c r="A915" i="1"/>
  <c r="B915" i="1"/>
  <c r="C915" i="1"/>
  <c r="D915" i="1"/>
  <c r="I915" i="1"/>
  <c r="J915" i="1"/>
  <c r="A916" i="1"/>
  <c r="B916" i="1"/>
  <c r="C916" i="1"/>
  <c r="D916" i="1"/>
  <c r="E916" i="1" s="1"/>
  <c r="I916" i="1"/>
  <c r="J916" i="1"/>
  <c r="A917" i="1"/>
  <c r="B917" i="1"/>
  <c r="C917" i="1"/>
  <c r="D917" i="1"/>
  <c r="I917" i="1"/>
  <c r="J917" i="1"/>
  <c r="A918" i="1"/>
  <c r="B918" i="1"/>
  <c r="C918" i="1"/>
  <c r="D918" i="1"/>
  <c r="E918" i="1"/>
  <c r="I918" i="1"/>
  <c r="J918" i="1"/>
  <c r="A919" i="1"/>
  <c r="B919" i="1"/>
  <c r="C919" i="1"/>
  <c r="D919" i="1"/>
  <c r="I919" i="1"/>
  <c r="J919" i="1"/>
  <c r="A920" i="1"/>
  <c r="B920" i="1"/>
  <c r="C920" i="1"/>
  <c r="D920" i="1"/>
  <c r="E920" i="1" s="1"/>
  <c r="I920" i="1"/>
  <c r="J920" i="1"/>
  <c r="A921" i="1"/>
  <c r="B921" i="1"/>
  <c r="C921" i="1"/>
  <c r="D921" i="1"/>
  <c r="I921" i="1"/>
  <c r="J921" i="1"/>
  <c r="A922" i="1"/>
  <c r="B922" i="1"/>
  <c r="C922" i="1"/>
  <c r="D922" i="1"/>
  <c r="E922" i="1" s="1"/>
  <c r="I922" i="1"/>
  <c r="J922" i="1"/>
  <c r="A923" i="1"/>
  <c r="B923" i="1"/>
  <c r="C923" i="1"/>
  <c r="D923" i="1"/>
  <c r="I923" i="1"/>
  <c r="J923" i="1"/>
  <c r="A924" i="1"/>
  <c r="B924" i="1"/>
  <c r="C924" i="1"/>
  <c r="E924" i="1"/>
  <c r="I924" i="1"/>
  <c r="J924" i="1"/>
  <c r="A925" i="1"/>
  <c r="B925" i="1"/>
  <c r="C925" i="1"/>
  <c r="E925" i="1"/>
  <c r="I925" i="1"/>
  <c r="J925" i="1"/>
  <c r="A926" i="1"/>
  <c r="B926" i="1"/>
  <c r="C926" i="1"/>
  <c r="E926" i="1"/>
  <c r="I926" i="1"/>
  <c r="J926" i="1"/>
  <c r="A927" i="1"/>
  <c r="B927" i="1"/>
  <c r="C927" i="1"/>
  <c r="E927" i="1"/>
  <c r="I927" i="1"/>
  <c r="J927" i="1"/>
  <c r="A928" i="1"/>
  <c r="B928" i="1"/>
  <c r="C928" i="1"/>
  <c r="E928" i="1"/>
  <c r="I928" i="1"/>
  <c r="J928" i="1"/>
  <c r="A929" i="1"/>
  <c r="B929" i="1"/>
  <c r="C929" i="1"/>
  <c r="E929" i="1"/>
  <c r="I929" i="1"/>
  <c r="J929" i="1"/>
  <c r="A930" i="1"/>
  <c r="B930" i="1"/>
  <c r="C930" i="1"/>
  <c r="E930" i="1"/>
  <c r="I930" i="1"/>
  <c r="J930" i="1"/>
  <c r="A931" i="1"/>
  <c r="B931" i="1"/>
  <c r="C931" i="1"/>
  <c r="E931" i="1"/>
  <c r="I931" i="1"/>
  <c r="J931" i="1"/>
  <c r="A932" i="1"/>
  <c r="B932" i="1"/>
  <c r="C932" i="1"/>
  <c r="E932" i="1"/>
  <c r="I932" i="1"/>
  <c r="J932" i="1"/>
  <c r="A933" i="1"/>
  <c r="B933" i="1"/>
  <c r="C933" i="1"/>
  <c r="E933" i="1"/>
  <c r="I933" i="1"/>
  <c r="J933" i="1"/>
  <c r="A934" i="1"/>
  <c r="B934" i="1"/>
  <c r="C934" i="1"/>
  <c r="E934" i="1"/>
  <c r="I934" i="1"/>
  <c r="J934" i="1"/>
  <c r="A935" i="1"/>
  <c r="B935" i="1"/>
  <c r="C935" i="1"/>
  <c r="D935" i="1"/>
  <c r="E935" i="1" s="1"/>
  <c r="I935" i="1"/>
  <c r="J935" i="1"/>
  <c r="A936" i="1"/>
  <c r="B936" i="1"/>
  <c r="C936" i="1"/>
  <c r="D936" i="1"/>
  <c r="E936" i="1" s="1"/>
  <c r="I936" i="1"/>
  <c r="J936" i="1"/>
  <c r="A937" i="1"/>
  <c r="B937" i="1"/>
  <c r="C937" i="1"/>
  <c r="D937" i="1"/>
  <c r="E937" i="1" s="1"/>
  <c r="I937" i="1"/>
  <c r="J937" i="1"/>
  <c r="A938" i="1"/>
  <c r="B938" i="1"/>
  <c r="C938" i="1"/>
  <c r="D938" i="1"/>
  <c r="E938" i="1"/>
  <c r="I938" i="1"/>
  <c r="J938" i="1"/>
  <c r="A939" i="1"/>
  <c r="B939" i="1"/>
  <c r="C939" i="1"/>
  <c r="D939" i="1"/>
  <c r="E939" i="1" s="1"/>
  <c r="I939" i="1"/>
  <c r="J939" i="1"/>
  <c r="A940" i="1"/>
  <c r="B940" i="1"/>
  <c r="C940" i="1"/>
  <c r="E940" i="1"/>
  <c r="I940" i="1"/>
  <c r="J940" i="1"/>
  <c r="A941" i="1"/>
  <c r="B941" i="1"/>
  <c r="C941" i="1"/>
  <c r="E941" i="1"/>
  <c r="I941" i="1"/>
  <c r="J941" i="1"/>
  <c r="A942" i="1"/>
  <c r="B942" i="1"/>
  <c r="C942" i="1"/>
  <c r="E942" i="1"/>
  <c r="I942" i="1"/>
  <c r="J942" i="1"/>
  <c r="A943" i="1"/>
  <c r="B943" i="1"/>
  <c r="C943" i="1"/>
  <c r="E943" i="1"/>
  <c r="I943" i="1"/>
  <c r="J943" i="1"/>
  <c r="A944" i="1"/>
  <c r="B944" i="1"/>
  <c r="C944" i="1"/>
  <c r="E944" i="1"/>
  <c r="I944" i="1"/>
  <c r="J944" i="1"/>
  <c r="A945" i="1"/>
  <c r="B945" i="1"/>
  <c r="C945" i="1"/>
  <c r="E945" i="1"/>
  <c r="I945" i="1"/>
  <c r="J945" i="1"/>
  <c r="A946" i="1"/>
  <c r="B946" i="1"/>
  <c r="C946" i="1"/>
  <c r="E946" i="1"/>
  <c r="I946" i="1"/>
  <c r="J946" i="1"/>
  <c r="A947" i="1"/>
  <c r="B947" i="1"/>
  <c r="C947" i="1"/>
  <c r="E947" i="1"/>
  <c r="I947" i="1"/>
  <c r="J947" i="1"/>
  <c r="A948" i="1"/>
  <c r="B948" i="1"/>
  <c r="C948" i="1"/>
  <c r="E948" i="1"/>
  <c r="I948" i="1"/>
  <c r="J948" i="1"/>
  <c r="A949" i="1"/>
  <c r="B949" i="1"/>
  <c r="C949" i="1"/>
  <c r="D949" i="1"/>
  <c r="E949" i="1" s="1"/>
  <c r="I949" i="1"/>
  <c r="J949" i="1"/>
  <c r="A950" i="1"/>
  <c r="B950" i="1"/>
  <c r="C950" i="1"/>
  <c r="D950" i="1"/>
  <c r="E950" i="1" s="1"/>
  <c r="I950" i="1"/>
  <c r="J950" i="1"/>
  <c r="A951" i="1"/>
  <c r="B951" i="1"/>
  <c r="C951" i="1"/>
  <c r="D951" i="1"/>
  <c r="E951" i="1"/>
  <c r="I951" i="1"/>
  <c r="J951" i="1"/>
  <c r="A952" i="1"/>
  <c r="B952" i="1"/>
  <c r="C952" i="1"/>
  <c r="D952" i="1"/>
  <c r="E952" i="1" s="1"/>
  <c r="I952" i="1"/>
  <c r="J952" i="1"/>
  <c r="A953" i="1"/>
  <c r="B953" i="1"/>
  <c r="C953" i="1"/>
  <c r="D953" i="1"/>
  <c r="E953" i="1"/>
  <c r="I953" i="1"/>
  <c r="J953" i="1"/>
  <c r="A954" i="1"/>
  <c r="B954" i="1"/>
  <c r="C954" i="1"/>
  <c r="D954" i="1"/>
  <c r="E954" i="1" s="1"/>
  <c r="I954" i="1"/>
  <c r="J954" i="1"/>
  <c r="A955" i="1"/>
  <c r="B955" i="1"/>
  <c r="C955" i="1"/>
  <c r="D955" i="1"/>
  <c r="E955" i="1"/>
  <c r="I955" i="1"/>
  <c r="J955" i="1"/>
  <c r="A956" i="1"/>
  <c r="B956" i="1"/>
  <c r="C956" i="1"/>
  <c r="D956" i="1"/>
  <c r="E956" i="1" s="1"/>
  <c r="I956" i="1"/>
  <c r="J956" i="1"/>
  <c r="A957" i="1"/>
  <c r="B957" i="1"/>
  <c r="C957" i="1"/>
  <c r="D957" i="1"/>
  <c r="E957" i="1" s="1"/>
  <c r="I957" i="1"/>
  <c r="J957" i="1"/>
  <c r="A958" i="1"/>
  <c r="B958" i="1"/>
  <c r="C958" i="1"/>
  <c r="D958" i="1"/>
  <c r="E958" i="1" s="1"/>
  <c r="I958" i="1"/>
  <c r="J958" i="1"/>
  <c r="A959" i="1"/>
  <c r="B959" i="1"/>
  <c r="C959" i="1"/>
  <c r="D959" i="1"/>
  <c r="E959" i="1" s="1"/>
  <c r="I959" i="1"/>
  <c r="J959" i="1"/>
  <c r="A960" i="1"/>
  <c r="B960" i="1"/>
  <c r="C960" i="1"/>
  <c r="D960" i="1"/>
  <c r="E960" i="1" s="1"/>
  <c r="I960" i="1"/>
  <c r="J960" i="1"/>
  <c r="A961" i="1"/>
  <c r="B961" i="1"/>
  <c r="C961" i="1"/>
  <c r="D961" i="1"/>
  <c r="E961" i="1" s="1"/>
  <c r="I961" i="1"/>
  <c r="J961" i="1"/>
  <c r="A962" i="1"/>
  <c r="B962" i="1"/>
  <c r="C962" i="1"/>
  <c r="D962" i="1"/>
  <c r="E962" i="1" s="1"/>
  <c r="I962" i="1"/>
  <c r="J962" i="1"/>
  <c r="A963" i="1"/>
  <c r="B963" i="1"/>
  <c r="C963" i="1"/>
  <c r="D963" i="1"/>
  <c r="E963" i="1"/>
  <c r="I963" i="1"/>
  <c r="J963" i="1"/>
  <c r="A964" i="1"/>
  <c r="B964" i="1"/>
  <c r="C964" i="1"/>
  <c r="D964" i="1"/>
  <c r="E964" i="1" s="1"/>
  <c r="I964" i="1"/>
  <c r="J964" i="1"/>
  <c r="A965" i="1"/>
  <c r="B965" i="1"/>
  <c r="C965" i="1"/>
  <c r="D965" i="1"/>
  <c r="E965" i="1" s="1"/>
  <c r="I965" i="1"/>
  <c r="J965" i="1"/>
  <c r="A966" i="1"/>
  <c r="B966" i="1"/>
  <c r="C966" i="1"/>
  <c r="D966" i="1"/>
  <c r="E966" i="1" s="1"/>
  <c r="I966" i="1"/>
  <c r="J966" i="1"/>
  <c r="A967" i="1"/>
  <c r="B967" i="1"/>
  <c r="C967" i="1"/>
  <c r="D967" i="1"/>
  <c r="E967" i="1"/>
  <c r="I967" i="1"/>
  <c r="J967" i="1"/>
  <c r="A968" i="1"/>
  <c r="B968" i="1"/>
  <c r="C968" i="1"/>
  <c r="D968" i="1"/>
  <c r="E968" i="1" s="1"/>
  <c r="I968" i="1"/>
  <c r="J968" i="1"/>
  <c r="A969" i="1"/>
  <c r="B969" i="1"/>
  <c r="C969" i="1"/>
  <c r="D969" i="1"/>
  <c r="I969" i="1"/>
  <c r="J969" i="1"/>
  <c r="A970" i="1"/>
  <c r="B970" i="1"/>
  <c r="C970" i="1"/>
  <c r="D970" i="1"/>
  <c r="I970" i="1"/>
  <c r="J970" i="1"/>
  <c r="A971" i="1"/>
  <c r="B971" i="1"/>
  <c r="C971" i="1"/>
  <c r="D971" i="1"/>
  <c r="I971" i="1"/>
  <c r="J971" i="1"/>
  <c r="A972" i="1"/>
  <c r="B972" i="1"/>
  <c r="C972" i="1"/>
  <c r="D972" i="1"/>
  <c r="E972" i="1" s="1"/>
  <c r="I972" i="1"/>
  <c r="J972" i="1"/>
  <c r="A973" i="1"/>
  <c r="B973" i="1"/>
  <c r="C973" i="1"/>
  <c r="D973" i="1"/>
  <c r="E973" i="1" s="1"/>
  <c r="I973" i="1"/>
  <c r="J973" i="1"/>
  <c r="A974" i="1"/>
  <c r="B974" i="1"/>
  <c r="C974" i="1"/>
  <c r="D974" i="1"/>
  <c r="E974" i="1" s="1"/>
  <c r="I974" i="1"/>
  <c r="J974" i="1"/>
  <c r="A975" i="1"/>
  <c r="B975" i="1"/>
  <c r="C975" i="1"/>
  <c r="D975" i="1"/>
  <c r="E975" i="1" s="1"/>
  <c r="I975" i="1"/>
  <c r="J975" i="1"/>
  <c r="A976" i="1"/>
  <c r="B976" i="1"/>
  <c r="C976" i="1"/>
  <c r="D976" i="1"/>
  <c r="E976" i="1" s="1"/>
  <c r="I976" i="1"/>
  <c r="J976" i="1"/>
  <c r="A977" i="1"/>
  <c r="B977" i="1"/>
  <c r="C977" i="1"/>
  <c r="D977" i="1"/>
  <c r="E977" i="1" s="1"/>
  <c r="I977" i="1"/>
  <c r="J977" i="1"/>
  <c r="A978" i="1"/>
  <c r="B978" i="1"/>
  <c r="C978" i="1"/>
  <c r="D978" i="1"/>
  <c r="E978" i="1"/>
  <c r="I978" i="1"/>
  <c r="J978" i="1"/>
  <c r="A979" i="1"/>
  <c r="B979" i="1"/>
  <c r="C979" i="1"/>
  <c r="D979" i="1"/>
  <c r="E979" i="1" s="1"/>
  <c r="I979" i="1"/>
  <c r="J979" i="1"/>
  <c r="A980" i="1"/>
  <c r="B980" i="1"/>
  <c r="C980" i="1"/>
  <c r="D980" i="1"/>
  <c r="E980" i="1" s="1"/>
  <c r="I980" i="1"/>
  <c r="J980" i="1"/>
  <c r="A981" i="1"/>
  <c r="B981" i="1"/>
  <c r="C981" i="1"/>
  <c r="D981" i="1"/>
  <c r="E981" i="1" s="1"/>
  <c r="I981" i="1"/>
  <c r="J981" i="1"/>
  <c r="A982" i="1"/>
  <c r="B982" i="1"/>
  <c r="C982" i="1"/>
  <c r="D982" i="1"/>
  <c r="E982" i="1"/>
  <c r="I982" i="1"/>
  <c r="J982" i="1"/>
  <c r="A983" i="1"/>
  <c r="B983" i="1"/>
  <c r="C983" i="1"/>
  <c r="D983" i="1"/>
  <c r="E983" i="1" s="1"/>
  <c r="I983" i="1"/>
  <c r="J983" i="1"/>
  <c r="A984" i="1"/>
  <c r="B984" i="1"/>
  <c r="C984" i="1"/>
  <c r="D984" i="1"/>
  <c r="E984" i="1"/>
  <c r="I984" i="1"/>
  <c r="J984" i="1"/>
  <c r="A985" i="1"/>
  <c r="B985" i="1"/>
  <c r="C985" i="1"/>
  <c r="D985" i="1"/>
  <c r="E985" i="1" s="1"/>
  <c r="I985" i="1"/>
  <c r="J985" i="1"/>
  <c r="A986" i="1"/>
  <c r="B986" i="1"/>
  <c r="C986" i="1"/>
  <c r="D986" i="1"/>
  <c r="E986" i="1"/>
  <c r="I986" i="1"/>
  <c r="J986" i="1"/>
  <c r="A987" i="1"/>
  <c r="B987" i="1"/>
  <c r="C987" i="1"/>
  <c r="D987" i="1"/>
  <c r="E987" i="1" s="1"/>
  <c r="I987" i="1"/>
  <c r="J987" i="1"/>
  <c r="A988" i="1"/>
  <c r="B988" i="1"/>
  <c r="C988" i="1"/>
  <c r="D988" i="1"/>
  <c r="E988" i="1" s="1"/>
  <c r="I988" i="1"/>
  <c r="J988" i="1"/>
  <c r="A989" i="1"/>
  <c r="B989" i="1"/>
  <c r="C989" i="1"/>
  <c r="D989" i="1"/>
  <c r="E989" i="1" s="1"/>
  <c r="I989" i="1"/>
  <c r="J989" i="1"/>
  <c r="A990" i="1"/>
  <c r="B990" i="1"/>
  <c r="C990" i="1"/>
  <c r="D990" i="1"/>
  <c r="E990" i="1" s="1"/>
  <c r="I990" i="1"/>
  <c r="J990" i="1"/>
  <c r="A991" i="1"/>
  <c r="B991" i="1"/>
  <c r="C991" i="1"/>
  <c r="D991" i="1"/>
  <c r="E991" i="1" s="1"/>
  <c r="I991" i="1"/>
  <c r="J991" i="1"/>
  <c r="A992" i="1"/>
  <c r="B992" i="1"/>
  <c r="C992" i="1"/>
  <c r="D992" i="1"/>
  <c r="E992" i="1" s="1"/>
  <c r="I992" i="1"/>
  <c r="J992" i="1"/>
  <c r="A993" i="1"/>
  <c r="B993" i="1"/>
  <c r="C993" i="1"/>
  <c r="D993" i="1"/>
  <c r="E993" i="1" s="1"/>
  <c r="I993" i="1"/>
  <c r="J993" i="1"/>
  <c r="A994" i="1"/>
  <c r="B994" i="1"/>
  <c r="C994" i="1"/>
  <c r="D994" i="1"/>
  <c r="E994" i="1"/>
  <c r="I994" i="1"/>
  <c r="J994" i="1"/>
  <c r="A995" i="1"/>
  <c r="B995" i="1"/>
  <c r="C995" i="1"/>
  <c r="D995" i="1"/>
  <c r="E995" i="1" s="1"/>
  <c r="I995" i="1"/>
  <c r="J995" i="1"/>
  <c r="A996" i="1"/>
  <c r="B996" i="1"/>
  <c r="C996" i="1"/>
  <c r="D996" i="1"/>
  <c r="E996" i="1" s="1"/>
  <c r="I996" i="1"/>
  <c r="J996" i="1"/>
  <c r="A997" i="1"/>
  <c r="B997" i="1"/>
  <c r="C997" i="1"/>
  <c r="D997" i="1"/>
  <c r="E997" i="1" s="1"/>
  <c r="I997" i="1"/>
  <c r="J997" i="1"/>
  <c r="A998" i="1"/>
  <c r="B998" i="1"/>
  <c r="C998" i="1"/>
  <c r="D998" i="1"/>
  <c r="E998" i="1"/>
  <c r="I998" i="1"/>
  <c r="J998" i="1"/>
  <c r="A999" i="1"/>
  <c r="B999" i="1"/>
  <c r="C999" i="1"/>
  <c r="D999" i="1"/>
  <c r="E999" i="1" s="1"/>
  <c r="I999" i="1"/>
  <c r="J999" i="1"/>
  <c r="A1000" i="1"/>
  <c r="B1000" i="1"/>
  <c r="C1000" i="1"/>
  <c r="D1000" i="1"/>
  <c r="E1000" i="1"/>
  <c r="I1000" i="1"/>
  <c r="J1000" i="1"/>
  <c r="A1001" i="1"/>
  <c r="B1001" i="1"/>
  <c r="C1001" i="1"/>
  <c r="D1001" i="1"/>
  <c r="E1001" i="1" s="1"/>
  <c r="I1001" i="1"/>
  <c r="J1001" i="1"/>
  <c r="A1002" i="1"/>
  <c r="B1002" i="1"/>
  <c r="C1002" i="1"/>
  <c r="D1002" i="1"/>
  <c r="E1002" i="1"/>
  <c r="I1002" i="1"/>
  <c r="J1002" i="1"/>
  <c r="A1003" i="1"/>
  <c r="B1003" i="1"/>
  <c r="C1003" i="1"/>
  <c r="D1003" i="1"/>
  <c r="E1003" i="1" s="1"/>
  <c r="I1003" i="1"/>
  <c r="J1003" i="1"/>
  <c r="A1004" i="1"/>
  <c r="B1004" i="1"/>
  <c r="C1004" i="1"/>
  <c r="D1004" i="1"/>
  <c r="E1004" i="1" s="1"/>
  <c r="I1004" i="1"/>
  <c r="J1004" i="1"/>
  <c r="A1005" i="1"/>
  <c r="B1005" i="1"/>
  <c r="C1005" i="1"/>
  <c r="D1005" i="1"/>
  <c r="E1005" i="1" s="1"/>
  <c r="I1005" i="1"/>
  <c r="J1005" i="1"/>
  <c r="A1006" i="1"/>
  <c r="B1006" i="1"/>
  <c r="C1006" i="1"/>
  <c r="D1006" i="1"/>
  <c r="E1006" i="1" s="1"/>
  <c r="I1006" i="1"/>
  <c r="J1006" i="1"/>
  <c r="A1007" i="1"/>
  <c r="B1007" i="1"/>
  <c r="C1007" i="1"/>
  <c r="D1007" i="1"/>
  <c r="E1007" i="1" s="1"/>
  <c r="I1007" i="1"/>
  <c r="J1007" i="1"/>
  <c r="A1008" i="1"/>
  <c r="B1008" i="1"/>
  <c r="C1008" i="1"/>
  <c r="D1008" i="1"/>
  <c r="E1008" i="1" s="1"/>
  <c r="I1008" i="1"/>
  <c r="J1008" i="1"/>
  <c r="A1009" i="1"/>
  <c r="B1009" i="1"/>
  <c r="C1009" i="1"/>
  <c r="D1009" i="1"/>
  <c r="E1009" i="1" s="1"/>
  <c r="I1009" i="1"/>
  <c r="J1009" i="1"/>
  <c r="A1010" i="1"/>
  <c r="B1010" i="1"/>
  <c r="C1010" i="1"/>
  <c r="D1010" i="1"/>
  <c r="E1010" i="1"/>
  <c r="I1010" i="1"/>
  <c r="J1010" i="1"/>
  <c r="A1011" i="1"/>
  <c r="B1011" i="1"/>
  <c r="C1011" i="1"/>
  <c r="D1011" i="1"/>
  <c r="E1011" i="1" s="1"/>
  <c r="I1011" i="1"/>
  <c r="J1011" i="1"/>
  <c r="A1012" i="1"/>
  <c r="B1012" i="1"/>
  <c r="C1012" i="1"/>
  <c r="D1012" i="1"/>
  <c r="E1012" i="1" s="1"/>
  <c r="I1012" i="1"/>
  <c r="J1012" i="1"/>
  <c r="A1013" i="1"/>
  <c r="B1013" i="1"/>
  <c r="C1013" i="1"/>
  <c r="D1013" i="1"/>
  <c r="E1013" i="1" s="1"/>
  <c r="I1013" i="1"/>
  <c r="J1013" i="1"/>
  <c r="A1014" i="1"/>
  <c r="B1014" i="1"/>
  <c r="C1014" i="1"/>
  <c r="D1014" i="1"/>
  <c r="E1014" i="1"/>
  <c r="I1014" i="1"/>
  <c r="J1014" i="1"/>
  <c r="A1015" i="1"/>
  <c r="B1015" i="1"/>
  <c r="C1015" i="1"/>
  <c r="D1015" i="1"/>
  <c r="E1015" i="1" s="1"/>
  <c r="I1015" i="1"/>
  <c r="J1015" i="1"/>
  <c r="A1016" i="1"/>
  <c r="B1016" i="1"/>
  <c r="C1016" i="1"/>
  <c r="D1016" i="1"/>
  <c r="E1016" i="1"/>
  <c r="I1016" i="1"/>
  <c r="J1016" i="1"/>
  <c r="A1017" i="1"/>
  <c r="B1017" i="1"/>
  <c r="C1017" i="1"/>
  <c r="D1017" i="1"/>
  <c r="E1017" i="1" s="1"/>
  <c r="I1017" i="1"/>
  <c r="J1017" i="1"/>
  <c r="A1018" i="1"/>
  <c r="B1018" i="1"/>
  <c r="C1018" i="1"/>
  <c r="D1018" i="1"/>
  <c r="E1018" i="1"/>
  <c r="I1018" i="1"/>
  <c r="J1018" i="1"/>
  <c r="A1019" i="1"/>
  <c r="B1019" i="1"/>
  <c r="C1019" i="1"/>
  <c r="D1019" i="1"/>
  <c r="E1019" i="1" s="1"/>
  <c r="I1019" i="1"/>
  <c r="J1019" i="1"/>
  <c r="A1020" i="1"/>
  <c r="B1020" i="1"/>
  <c r="C1020" i="1"/>
  <c r="D1020" i="1"/>
  <c r="E1020" i="1" s="1"/>
  <c r="I1020" i="1"/>
  <c r="J1020" i="1"/>
  <c r="A1021" i="1"/>
  <c r="B1021" i="1"/>
  <c r="C1021" i="1"/>
  <c r="D1021" i="1"/>
  <c r="E1021" i="1" s="1"/>
  <c r="I1021" i="1"/>
  <c r="J1021" i="1"/>
  <c r="A1022" i="1"/>
  <c r="B1022" i="1"/>
  <c r="C1022" i="1"/>
  <c r="D1022" i="1"/>
  <c r="E1022" i="1" s="1"/>
  <c r="I1022" i="1"/>
  <c r="J1022" i="1"/>
  <c r="A1023" i="1"/>
  <c r="B1023" i="1"/>
  <c r="C1023" i="1"/>
  <c r="D1023" i="1"/>
  <c r="E1023" i="1" s="1"/>
  <c r="I1023" i="1"/>
  <c r="J1023" i="1"/>
  <c r="A1024" i="1"/>
  <c r="B1024" i="1"/>
  <c r="C1024" i="1"/>
  <c r="D1024" i="1"/>
  <c r="E1024" i="1" s="1"/>
  <c r="I1024" i="1"/>
  <c r="J1024" i="1"/>
  <c r="A1025" i="1"/>
  <c r="B1025" i="1"/>
  <c r="C1025" i="1"/>
  <c r="D1025" i="1"/>
  <c r="E1025" i="1" s="1"/>
  <c r="I1025" i="1"/>
  <c r="J1025" i="1"/>
  <c r="A1026" i="1"/>
  <c r="B1026" i="1"/>
  <c r="C1026" i="1"/>
  <c r="D1026" i="1"/>
  <c r="E1026" i="1"/>
  <c r="I1026" i="1"/>
  <c r="J1026" i="1"/>
  <c r="A1027" i="1"/>
  <c r="B1027" i="1"/>
  <c r="C1027" i="1"/>
  <c r="D1027" i="1"/>
  <c r="E1027" i="1" s="1"/>
  <c r="I1027" i="1"/>
  <c r="J1027" i="1"/>
  <c r="A1028" i="1"/>
  <c r="B1028" i="1"/>
  <c r="C1028" i="1"/>
  <c r="D1028" i="1"/>
  <c r="E1028" i="1" s="1"/>
  <c r="I1028" i="1"/>
  <c r="J1028" i="1"/>
  <c r="A1029" i="1"/>
  <c r="B1029" i="1"/>
  <c r="C1029" i="1"/>
  <c r="D1029" i="1"/>
  <c r="E1029" i="1" s="1"/>
  <c r="I1029" i="1"/>
  <c r="J1029" i="1"/>
  <c r="A1030" i="1"/>
  <c r="B1030" i="1"/>
  <c r="C1030" i="1"/>
  <c r="D1030" i="1"/>
  <c r="E1030" i="1"/>
  <c r="I1030" i="1"/>
  <c r="J1030" i="1"/>
  <c r="A1031" i="1"/>
  <c r="B1031" i="1"/>
  <c r="C1031" i="1"/>
  <c r="D1031" i="1"/>
  <c r="E1031" i="1" s="1"/>
  <c r="I1031" i="1"/>
  <c r="J1031" i="1"/>
  <c r="A1032" i="1"/>
  <c r="B1032" i="1"/>
  <c r="C1032" i="1"/>
  <c r="D1032" i="1"/>
  <c r="E1032" i="1"/>
  <c r="I1032" i="1"/>
  <c r="J1032" i="1"/>
  <c r="A1033" i="1"/>
  <c r="B1033" i="1"/>
  <c r="C1033" i="1"/>
  <c r="D1033" i="1"/>
  <c r="E1033" i="1" s="1"/>
  <c r="I1033" i="1"/>
  <c r="J1033" i="1"/>
  <c r="A1034" i="1"/>
  <c r="B1034" i="1"/>
  <c r="C1034" i="1"/>
  <c r="D1034" i="1"/>
  <c r="I1034" i="1"/>
  <c r="J1034" i="1"/>
  <c r="A1035" i="1"/>
  <c r="B1035" i="1"/>
  <c r="C1035" i="1"/>
  <c r="D1035" i="1"/>
  <c r="I1035" i="1"/>
  <c r="J1035" i="1"/>
  <c r="A1036" i="1"/>
  <c r="B1036" i="1"/>
  <c r="C1036" i="1"/>
  <c r="D1036" i="1"/>
  <c r="E1036" i="1"/>
  <c r="I1036" i="1"/>
  <c r="J1036" i="1"/>
  <c r="A1037" i="1"/>
  <c r="B1037" i="1"/>
  <c r="C1037" i="1"/>
  <c r="D1037" i="1"/>
  <c r="E1037" i="1" s="1"/>
  <c r="I1037" i="1"/>
  <c r="J1037" i="1"/>
  <c r="A1038" i="1"/>
  <c r="B1038" i="1"/>
  <c r="C1038" i="1"/>
  <c r="D1038" i="1"/>
  <c r="E1038" i="1" s="1"/>
  <c r="I1038" i="1"/>
  <c r="J1038" i="1"/>
  <c r="A1039" i="1"/>
  <c r="B1039" i="1"/>
  <c r="C1039" i="1"/>
  <c r="D1039" i="1"/>
  <c r="E1039" i="1" s="1"/>
  <c r="I1039" i="1"/>
  <c r="J1039" i="1"/>
  <c r="A1040" i="1"/>
  <c r="B1040" i="1"/>
  <c r="C1040" i="1"/>
  <c r="D1040" i="1"/>
  <c r="E1040" i="1"/>
  <c r="I1040" i="1"/>
  <c r="J1040" i="1"/>
  <c r="A1041" i="1"/>
  <c r="B1041" i="1"/>
  <c r="C1041" i="1"/>
  <c r="D1041" i="1"/>
  <c r="E1041" i="1" s="1"/>
  <c r="I1041" i="1"/>
  <c r="J1041" i="1"/>
  <c r="A1042" i="1"/>
  <c r="B1042" i="1"/>
  <c r="C1042" i="1"/>
  <c r="D1042" i="1"/>
  <c r="E1042" i="1"/>
  <c r="I1042" i="1"/>
  <c r="J1042" i="1"/>
  <c r="A1043" i="1"/>
  <c r="B1043" i="1"/>
  <c r="C1043" i="1"/>
  <c r="D1043" i="1"/>
  <c r="E1043" i="1" s="1"/>
  <c r="I1043" i="1"/>
  <c r="J1043" i="1"/>
  <c r="A1044" i="1"/>
  <c r="B1044" i="1"/>
  <c r="C1044" i="1"/>
  <c r="D1044" i="1"/>
  <c r="E1044" i="1"/>
  <c r="I1044" i="1"/>
  <c r="J1044" i="1"/>
  <c r="A1045" i="1"/>
  <c r="B1045" i="1"/>
  <c r="C1045" i="1"/>
  <c r="D1045" i="1"/>
  <c r="E1045" i="1" s="1"/>
  <c r="I1045" i="1"/>
  <c r="J1045" i="1"/>
  <c r="A1046" i="1"/>
  <c r="B1046" i="1"/>
  <c r="C1046" i="1"/>
  <c r="D1046" i="1"/>
  <c r="E1046" i="1" s="1"/>
  <c r="I1046" i="1"/>
  <c r="J1046" i="1"/>
  <c r="A1047" i="1"/>
  <c r="B1047" i="1"/>
  <c r="C1047" i="1"/>
  <c r="D1047" i="1"/>
  <c r="E1047" i="1" s="1"/>
  <c r="I1047" i="1"/>
  <c r="J1047" i="1"/>
  <c r="A1048" i="1"/>
  <c r="B1048" i="1"/>
  <c r="C1048" i="1"/>
  <c r="D1048" i="1"/>
  <c r="E1048" i="1" s="1"/>
  <c r="I1048" i="1"/>
  <c r="J1048" i="1"/>
  <c r="A1049" i="1"/>
  <c r="B1049" i="1"/>
  <c r="C1049" i="1"/>
  <c r="D1049" i="1"/>
  <c r="E1049" i="1" s="1"/>
  <c r="I1049" i="1"/>
  <c r="J1049" i="1"/>
  <c r="A1050" i="1"/>
  <c r="B1050" i="1"/>
  <c r="C1050" i="1"/>
  <c r="D1050" i="1"/>
  <c r="E1050" i="1" s="1"/>
  <c r="I1050" i="1"/>
  <c r="J1050" i="1"/>
  <c r="A1051" i="1"/>
  <c r="B1051" i="1"/>
  <c r="C1051" i="1"/>
  <c r="D1051" i="1"/>
  <c r="E1051" i="1" s="1"/>
  <c r="I1051" i="1"/>
  <c r="J1051" i="1"/>
  <c r="A1052" i="1"/>
  <c r="B1052" i="1"/>
  <c r="C1052" i="1"/>
  <c r="D1052" i="1"/>
  <c r="E1052" i="1"/>
  <c r="I1052" i="1"/>
  <c r="J1052" i="1"/>
  <c r="A1053" i="1"/>
  <c r="B1053" i="1"/>
  <c r="C1053" i="1"/>
  <c r="D1053" i="1"/>
  <c r="E1053" i="1" s="1"/>
  <c r="I1053" i="1"/>
  <c r="J1053" i="1"/>
  <c r="A1054" i="1"/>
  <c r="B1054" i="1"/>
  <c r="C1054" i="1"/>
  <c r="D1054" i="1"/>
  <c r="E1054" i="1" s="1"/>
  <c r="I1054" i="1"/>
  <c r="J1054" i="1"/>
  <c r="A1055" i="1"/>
  <c r="B1055" i="1"/>
  <c r="C1055" i="1"/>
  <c r="D1055" i="1"/>
  <c r="E1055" i="1" s="1"/>
  <c r="I1055" i="1"/>
  <c r="J1055" i="1"/>
  <c r="A1056" i="1"/>
  <c r="B1056" i="1"/>
  <c r="C1056" i="1"/>
  <c r="D1056" i="1"/>
  <c r="E1056" i="1" s="1"/>
  <c r="I1056" i="1"/>
  <c r="J1056" i="1"/>
  <c r="A1057" i="1"/>
  <c r="B1057" i="1"/>
  <c r="C1057" i="1"/>
  <c r="D1057" i="1"/>
  <c r="E1057" i="1" s="1"/>
  <c r="I1057" i="1"/>
  <c r="J1057" i="1"/>
  <c r="A1058" i="1"/>
  <c r="B1058" i="1"/>
  <c r="C1058" i="1"/>
  <c r="D1058" i="1"/>
  <c r="E1058" i="1"/>
  <c r="I1058" i="1"/>
  <c r="J1058" i="1"/>
  <c r="A1059" i="1"/>
  <c r="B1059" i="1"/>
  <c r="C1059" i="1"/>
  <c r="D1059" i="1"/>
  <c r="E1059" i="1" s="1"/>
  <c r="I1059" i="1"/>
  <c r="J1059" i="1"/>
  <c r="A1060" i="1"/>
  <c r="B1060" i="1"/>
  <c r="C1060" i="1"/>
  <c r="D1060" i="1"/>
  <c r="E1060" i="1" s="1"/>
  <c r="I1060" i="1"/>
  <c r="J1060" i="1"/>
  <c r="A1061" i="1"/>
  <c r="B1061" i="1"/>
  <c r="C1061" i="1"/>
  <c r="D1061" i="1"/>
  <c r="E1061" i="1" s="1"/>
  <c r="I1061" i="1"/>
  <c r="J1061" i="1"/>
  <c r="A1062" i="1"/>
  <c r="B1062" i="1"/>
  <c r="C1062" i="1"/>
  <c r="D1062" i="1"/>
  <c r="E1062" i="1"/>
  <c r="I1062" i="1"/>
  <c r="J1062" i="1"/>
  <c r="A1063" i="1"/>
  <c r="B1063" i="1"/>
  <c r="C1063" i="1"/>
  <c r="D1063" i="1"/>
  <c r="E1063" i="1" s="1"/>
  <c r="I1063" i="1"/>
  <c r="J1063" i="1"/>
  <c r="A1064" i="1"/>
  <c r="B1064" i="1"/>
  <c r="C1064" i="1"/>
  <c r="D1064" i="1"/>
  <c r="E1064" i="1" s="1"/>
  <c r="I1064" i="1"/>
  <c r="J1064" i="1"/>
  <c r="A1065" i="1"/>
  <c r="B1065" i="1"/>
  <c r="C1065" i="1"/>
  <c r="D1065" i="1"/>
  <c r="E1065" i="1" s="1"/>
  <c r="I1065" i="1"/>
  <c r="J1065" i="1"/>
  <c r="A1066" i="1"/>
  <c r="B1066" i="1"/>
  <c r="C1066" i="1"/>
  <c r="D1066" i="1"/>
  <c r="E1066" i="1" s="1"/>
  <c r="I1066" i="1"/>
  <c r="J1066" i="1"/>
  <c r="A1067" i="1"/>
  <c r="B1067" i="1"/>
  <c r="C1067" i="1"/>
  <c r="D1067" i="1"/>
  <c r="E1067" i="1" s="1"/>
  <c r="I1067" i="1"/>
  <c r="J1067" i="1"/>
  <c r="A1068" i="1"/>
  <c r="B1068" i="1"/>
  <c r="C1068" i="1"/>
  <c r="D1068" i="1"/>
  <c r="E1068" i="1"/>
  <c r="I1068" i="1"/>
  <c r="J1068" i="1"/>
  <c r="A1069" i="1"/>
  <c r="B1069" i="1"/>
  <c r="C1069" i="1"/>
  <c r="D1069" i="1"/>
  <c r="E1069" i="1" s="1"/>
  <c r="I1069" i="1"/>
  <c r="J1069" i="1"/>
  <c r="A1070" i="1"/>
  <c r="B1070" i="1"/>
  <c r="C1070" i="1"/>
  <c r="D1070" i="1"/>
  <c r="E1070" i="1" s="1"/>
  <c r="I1070" i="1"/>
  <c r="J1070" i="1"/>
  <c r="A1071" i="1"/>
  <c r="B1071" i="1"/>
  <c r="C1071" i="1"/>
  <c r="D1071" i="1"/>
  <c r="E1071" i="1" s="1"/>
  <c r="I1071" i="1"/>
  <c r="J1071" i="1"/>
  <c r="A1072" i="1"/>
  <c r="B1072" i="1"/>
  <c r="C1072" i="1"/>
  <c r="D1072" i="1"/>
  <c r="E1072" i="1" s="1"/>
  <c r="I1072" i="1"/>
  <c r="J1072" i="1"/>
  <c r="A1073" i="1"/>
  <c r="B1073" i="1"/>
  <c r="C1073" i="1"/>
  <c r="D1073" i="1"/>
  <c r="E1073" i="1" s="1"/>
  <c r="I1073" i="1"/>
  <c r="J1073" i="1"/>
  <c r="A1074" i="1"/>
  <c r="B1074" i="1"/>
  <c r="C1074" i="1"/>
  <c r="D1074" i="1"/>
  <c r="E1074" i="1"/>
  <c r="I1074" i="1"/>
  <c r="J1074" i="1"/>
  <c r="A1075" i="1"/>
  <c r="B1075" i="1"/>
  <c r="C1075" i="1"/>
  <c r="D1075" i="1"/>
  <c r="E1075" i="1" s="1"/>
  <c r="I1075" i="1"/>
  <c r="J1075" i="1"/>
  <c r="A1076" i="1"/>
  <c r="B1076" i="1"/>
  <c r="C1076" i="1"/>
  <c r="D1076" i="1"/>
  <c r="E1076" i="1" s="1"/>
  <c r="I1076" i="1"/>
  <c r="J1076" i="1"/>
  <c r="A1077" i="1"/>
  <c r="B1077" i="1"/>
  <c r="C1077" i="1"/>
  <c r="D1077" i="1"/>
  <c r="E1077" i="1" s="1"/>
  <c r="I1077" i="1"/>
  <c r="J1077" i="1"/>
  <c r="A1078" i="1"/>
  <c r="B1078" i="1"/>
  <c r="C1078" i="1"/>
  <c r="D1078" i="1"/>
  <c r="E1078" i="1"/>
  <c r="I1078" i="1"/>
  <c r="J1078" i="1"/>
  <c r="A1079" i="1"/>
  <c r="B1079" i="1"/>
  <c r="C1079" i="1"/>
  <c r="D1079" i="1"/>
  <c r="E1079" i="1" s="1"/>
  <c r="I1079" i="1"/>
  <c r="J1079" i="1"/>
  <c r="A1080" i="1"/>
  <c r="B1080" i="1"/>
  <c r="C1080" i="1"/>
  <c r="D1080" i="1"/>
  <c r="E1080" i="1" s="1"/>
  <c r="I1080" i="1"/>
  <c r="J1080" i="1"/>
  <c r="A1081" i="1"/>
  <c r="B1081" i="1"/>
  <c r="C1081" i="1"/>
  <c r="D1081" i="1"/>
  <c r="E1081" i="1" s="1"/>
  <c r="I1081" i="1"/>
  <c r="J1081" i="1"/>
  <c r="A1082" i="1"/>
  <c r="B1082" i="1"/>
  <c r="C1082" i="1"/>
  <c r="D1082" i="1"/>
  <c r="E1082" i="1"/>
  <c r="I1082" i="1"/>
  <c r="J1082" i="1"/>
  <c r="A1083" i="1"/>
  <c r="B1083" i="1"/>
  <c r="C1083" i="1"/>
  <c r="D1083" i="1"/>
  <c r="E1083" i="1" s="1"/>
  <c r="I1083" i="1"/>
  <c r="J1083" i="1"/>
  <c r="A1084" i="1"/>
  <c r="B1084" i="1"/>
  <c r="C1084" i="1"/>
  <c r="D1084" i="1"/>
  <c r="E1084" i="1"/>
  <c r="I1084" i="1"/>
  <c r="J1084" i="1"/>
  <c r="A1085" i="1"/>
  <c r="B1085" i="1"/>
  <c r="C1085" i="1"/>
  <c r="D1085" i="1"/>
  <c r="E1085" i="1" s="1"/>
  <c r="I1085" i="1"/>
  <c r="J1085" i="1"/>
  <c r="A1086" i="1"/>
  <c r="B1086" i="1"/>
  <c r="C1086" i="1"/>
  <c r="D1086" i="1"/>
  <c r="E1086" i="1" s="1"/>
  <c r="I1086" i="1"/>
  <c r="J1086" i="1"/>
  <c r="A1087" i="1"/>
  <c r="B1087" i="1"/>
  <c r="C1087" i="1"/>
  <c r="D1087" i="1"/>
  <c r="E1087" i="1" s="1"/>
  <c r="I1087" i="1"/>
  <c r="J1087" i="1"/>
  <c r="A1088" i="1"/>
  <c r="B1088" i="1"/>
  <c r="C1088" i="1"/>
  <c r="D1088" i="1"/>
  <c r="E1088" i="1" s="1"/>
  <c r="I1088" i="1"/>
  <c r="J1088" i="1"/>
  <c r="A1089" i="1"/>
  <c r="B1089" i="1"/>
  <c r="C1089" i="1"/>
  <c r="D1089" i="1"/>
  <c r="E1089" i="1" s="1"/>
  <c r="I1089" i="1"/>
  <c r="J1089" i="1"/>
  <c r="A1090" i="1"/>
  <c r="B1090" i="1"/>
  <c r="C1090" i="1"/>
  <c r="D1090" i="1"/>
  <c r="E1090" i="1"/>
  <c r="I1090" i="1"/>
  <c r="J1090" i="1"/>
  <c r="A1091" i="1"/>
  <c r="B1091" i="1"/>
  <c r="C1091" i="1"/>
  <c r="D1091" i="1"/>
  <c r="E1091" i="1" s="1"/>
  <c r="I1091" i="1"/>
  <c r="J1091" i="1"/>
  <c r="A1092" i="1"/>
  <c r="B1092" i="1"/>
  <c r="C1092" i="1"/>
  <c r="D1092" i="1"/>
  <c r="E1092" i="1"/>
  <c r="I1092" i="1"/>
  <c r="J1092" i="1"/>
  <c r="A1093" i="1"/>
  <c r="B1093" i="1"/>
  <c r="C1093" i="1"/>
  <c r="D1093" i="1"/>
  <c r="E1093" i="1" s="1"/>
  <c r="I1093" i="1"/>
  <c r="J1093" i="1"/>
  <c r="A1094" i="1"/>
  <c r="B1094" i="1"/>
  <c r="C1094" i="1"/>
  <c r="D1094" i="1"/>
  <c r="E1094" i="1"/>
  <c r="I1094" i="1"/>
  <c r="J1094" i="1"/>
  <c r="A1095" i="1"/>
  <c r="B1095" i="1"/>
  <c r="C1095" i="1"/>
  <c r="D1095" i="1"/>
  <c r="E1095" i="1" s="1"/>
  <c r="I1095" i="1"/>
  <c r="J1095" i="1"/>
  <c r="A1096" i="1"/>
  <c r="B1096" i="1"/>
  <c r="C1096" i="1"/>
  <c r="D1096" i="1"/>
  <c r="E1096" i="1" s="1"/>
  <c r="I1096" i="1"/>
  <c r="J1096" i="1"/>
  <c r="A1097" i="1"/>
  <c r="B1097" i="1"/>
  <c r="C1097" i="1"/>
  <c r="D1097" i="1"/>
  <c r="E1097" i="1" s="1"/>
  <c r="I1097" i="1"/>
  <c r="J1097" i="1"/>
  <c r="A1098" i="1"/>
  <c r="B1098" i="1"/>
  <c r="C1098" i="1"/>
  <c r="D1098" i="1"/>
  <c r="E1098" i="1" s="1"/>
  <c r="I1098" i="1"/>
  <c r="J1098" i="1"/>
  <c r="A1099" i="1"/>
  <c r="B1099" i="1"/>
  <c r="C1099" i="1"/>
  <c r="D1099" i="1"/>
  <c r="E1099" i="1" s="1"/>
  <c r="I1099" i="1"/>
  <c r="J1099" i="1"/>
  <c r="A1100" i="1"/>
  <c r="B1100" i="1"/>
  <c r="C1100" i="1"/>
  <c r="D1100" i="1"/>
  <c r="E1100" i="1"/>
  <c r="I1100" i="1"/>
  <c r="J1100" i="1"/>
  <c r="A1101" i="1"/>
  <c r="B1101" i="1"/>
  <c r="C1101" i="1"/>
  <c r="D1101" i="1"/>
  <c r="E1101" i="1" s="1"/>
  <c r="I1101" i="1"/>
  <c r="J1101" i="1"/>
  <c r="A1102" i="1"/>
  <c r="B1102" i="1"/>
  <c r="C1102" i="1"/>
  <c r="D1102" i="1"/>
  <c r="E1102" i="1"/>
  <c r="I1102" i="1"/>
  <c r="J1102" i="1"/>
  <c r="A1103" i="1"/>
  <c r="B1103" i="1"/>
  <c r="C1103" i="1"/>
  <c r="D1103" i="1"/>
  <c r="E1103" i="1" s="1"/>
  <c r="I1103" i="1"/>
  <c r="J1103" i="1"/>
  <c r="A1104" i="1"/>
  <c r="B1104" i="1"/>
  <c r="C1104" i="1"/>
  <c r="D1104" i="1"/>
  <c r="E1104" i="1"/>
  <c r="I1104" i="1"/>
  <c r="J1104" i="1"/>
  <c r="A1105" i="1"/>
  <c r="B1105" i="1"/>
  <c r="C1105" i="1"/>
  <c r="D1105" i="1"/>
  <c r="E1105" i="1" s="1"/>
  <c r="I1105" i="1"/>
  <c r="J1105" i="1"/>
  <c r="A1106" i="1"/>
  <c r="B1106" i="1"/>
  <c r="C1106" i="1"/>
  <c r="D1106" i="1"/>
  <c r="E1106" i="1" s="1"/>
  <c r="I1106" i="1"/>
  <c r="J1106" i="1"/>
  <c r="A1107" i="1"/>
  <c r="B1107" i="1"/>
  <c r="C1107" i="1"/>
  <c r="D1107" i="1"/>
  <c r="E1107" i="1" s="1"/>
  <c r="I1107" i="1"/>
  <c r="J1107" i="1"/>
  <c r="A1108" i="1"/>
  <c r="B1108" i="1"/>
  <c r="C1108" i="1"/>
  <c r="D1108" i="1"/>
  <c r="E1108" i="1"/>
  <c r="I1108" i="1"/>
  <c r="J1108" i="1"/>
  <c r="A1109" i="1"/>
  <c r="B1109" i="1"/>
  <c r="C1109" i="1"/>
  <c r="D1109" i="1"/>
  <c r="E1109" i="1" s="1"/>
  <c r="I1109" i="1"/>
  <c r="J1109" i="1"/>
  <c r="A1110" i="1"/>
  <c r="B1110" i="1"/>
  <c r="C1110" i="1"/>
  <c r="D1110" i="1"/>
  <c r="E1110" i="1" s="1"/>
  <c r="I1110" i="1"/>
  <c r="J1110" i="1"/>
  <c r="A1111" i="1"/>
  <c r="B1111" i="1"/>
  <c r="C1111" i="1"/>
  <c r="D1111" i="1"/>
  <c r="E1111" i="1" s="1"/>
  <c r="I1111" i="1"/>
  <c r="J1111" i="1"/>
  <c r="A1112" i="1"/>
  <c r="B1112" i="1"/>
  <c r="C1112" i="1"/>
  <c r="D1112" i="1"/>
  <c r="E1112" i="1"/>
  <c r="I1112" i="1"/>
  <c r="J1112" i="1"/>
  <c r="A1113" i="1"/>
  <c r="B1113" i="1"/>
  <c r="C1113" i="1"/>
  <c r="D1113" i="1"/>
  <c r="E1113" i="1" s="1"/>
  <c r="I1113" i="1"/>
  <c r="J1113" i="1"/>
  <c r="A1114" i="1"/>
  <c r="B1114" i="1"/>
  <c r="C1114" i="1"/>
  <c r="D1114" i="1"/>
  <c r="E1114" i="1" s="1"/>
  <c r="I1114" i="1"/>
  <c r="J1114" i="1"/>
  <c r="A1115" i="1"/>
  <c r="B1115" i="1"/>
  <c r="C1115" i="1"/>
  <c r="D1115" i="1"/>
  <c r="E1115" i="1" s="1"/>
  <c r="I1115" i="1"/>
  <c r="J1115" i="1"/>
  <c r="A1116" i="1"/>
  <c r="B1116" i="1"/>
  <c r="C1116" i="1"/>
  <c r="D1116" i="1"/>
  <c r="E1116" i="1"/>
  <c r="I1116" i="1"/>
  <c r="J1116" i="1"/>
  <c r="A1117" i="1"/>
  <c r="B1117" i="1"/>
  <c r="C1117" i="1"/>
  <c r="D1117" i="1"/>
  <c r="E1117" i="1" s="1"/>
  <c r="I1117" i="1"/>
  <c r="J1117" i="1"/>
  <c r="A1118" i="1"/>
  <c r="B1118" i="1"/>
  <c r="C1118" i="1"/>
  <c r="D1118" i="1"/>
  <c r="E1118" i="1"/>
  <c r="I1118" i="1"/>
  <c r="J1118" i="1"/>
  <c r="A1119" i="1"/>
  <c r="B1119" i="1"/>
  <c r="C1119" i="1"/>
  <c r="D1119" i="1"/>
  <c r="I1119" i="1"/>
  <c r="J1119" i="1"/>
  <c r="A1120" i="1"/>
  <c r="B1120" i="1"/>
  <c r="C1120" i="1"/>
  <c r="D1120" i="1"/>
  <c r="E1120" i="1" s="1"/>
  <c r="I1120" i="1"/>
  <c r="J1120" i="1"/>
  <c r="A1121" i="1"/>
  <c r="B1121" i="1"/>
  <c r="C1121" i="1"/>
  <c r="D1121" i="1"/>
  <c r="I1121" i="1"/>
  <c r="J1121" i="1"/>
  <c r="A1122" i="1"/>
  <c r="B1122" i="1"/>
  <c r="C1122" i="1"/>
  <c r="D1122" i="1"/>
  <c r="E1122" i="1"/>
  <c r="I1122" i="1"/>
  <c r="J1122" i="1"/>
  <c r="A1123" i="1"/>
  <c r="B1123" i="1"/>
  <c r="C1123" i="1"/>
  <c r="D1123" i="1"/>
  <c r="I1123" i="1"/>
  <c r="J1123" i="1"/>
  <c r="A1124" i="1"/>
  <c r="B1124" i="1"/>
  <c r="C1124" i="1"/>
  <c r="D1124" i="1"/>
  <c r="E1124" i="1" s="1"/>
  <c r="I1124" i="1"/>
  <c r="J1124" i="1"/>
  <c r="A1125" i="1"/>
  <c r="B1125" i="1"/>
  <c r="C1125" i="1"/>
  <c r="D1125" i="1"/>
  <c r="I1125" i="1"/>
  <c r="J1125" i="1"/>
  <c r="A1126" i="1"/>
  <c r="B1126" i="1"/>
  <c r="C1126" i="1"/>
  <c r="D1126" i="1"/>
  <c r="E1126" i="1" s="1"/>
  <c r="I1126" i="1"/>
  <c r="J1126" i="1"/>
  <c r="A1127" i="1"/>
  <c r="B1127" i="1"/>
  <c r="C1127" i="1"/>
  <c r="D1127" i="1"/>
  <c r="I1127" i="1"/>
  <c r="J1127" i="1"/>
  <c r="A1128" i="1"/>
  <c r="B1128" i="1"/>
  <c r="C1128" i="1"/>
  <c r="D1128" i="1"/>
  <c r="E1128" i="1" s="1"/>
  <c r="I1128" i="1"/>
  <c r="J1128" i="1"/>
  <c r="A1129" i="1"/>
  <c r="B1129" i="1"/>
  <c r="C1129" i="1"/>
  <c r="D1129" i="1"/>
  <c r="I1129" i="1"/>
  <c r="J1129" i="1"/>
  <c r="A1130" i="1"/>
  <c r="B1130" i="1"/>
  <c r="C1130" i="1"/>
  <c r="D1130" i="1"/>
  <c r="E1130" i="1"/>
  <c r="I1130" i="1"/>
  <c r="J1130" i="1"/>
  <c r="A1131" i="1"/>
  <c r="B1131" i="1"/>
  <c r="C1131" i="1"/>
  <c r="D1131" i="1"/>
  <c r="I1131" i="1"/>
  <c r="J1131" i="1"/>
  <c r="A1132" i="1"/>
  <c r="B1132" i="1"/>
  <c r="C1132" i="1"/>
  <c r="D1132" i="1"/>
  <c r="E1132" i="1" s="1"/>
  <c r="I1132" i="1"/>
  <c r="J1132" i="1"/>
  <c r="A1133" i="1"/>
  <c r="B1133" i="1"/>
  <c r="C1133" i="1"/>
  <c r="D1133" i="1"/>
  <c r="I1133" i="1"/>
  <c r="J1133" i="1"/>
  <c r="A1134" i="1"/>
  <c r="B1134" i="1"/>
  <c r="C1134" i="1"/>
  <c r="D1134" i="1"/>
  <c r="E1134" i="1" s="1"/>
  <c r="I1134" i="1"/>
  <c r="J1134" i="1"/>
  <c r="A1135" i="1"/>
  <c r="B1135" i="1"/>
  <c r="C1135" i="1"/>
  <c r="D1135" i="1"/>
  <c r="I1135" i="1"/>
  <c r="J1135" i="1"/>
  <c r="A1136" i="1"/>
  <c r="B1136" i="1"/>
  <c r="C1136" i="1"/>
  <c r="D1136" i="1"/>
  <c r="E1136" i="1" s="1"/>
  <c r="I1136" i="1"/>
  <c r="J1136" i="1"/>
  <c r="A1137" i="1"/>
  <c r="B1137" i="1"/>
  <c r="C1137" i="1"/>
  <c r="D1137" i="1"/>
  <c r="I1137" i="1"/>
  <c r="J1137" i="1"/>
  <c r="A1138" i="1"/>
  <c r="B1138" i="1"/>
  <c r="C1138" i="1"/>
  <c r="D1138" i="1"/>
  <c r="E1138" i="1"/>
  <c r="I1138" i="1"/>
  <c r="J1138" i="1"/>
  <c r="A1139" i="1"/>
  <c r="B1139" i="1"/>
  <c r="C1139" i="1"/>
  <c r="D1139" i="1"/>
  <c r="I1139" i="1"/>
  <c r="J1139" i="1"/>
  <c r="A1140" i="1"/>
  <c r="B1140" i="1"/>
  <c r="C1140" i="1"/>
  <c r="D1140" i="1"/>
  <c r="E1140" i="1" s="1"/>
  <c r="I1140" i="1"/>
  <c r="J1140" i="1"/>
  <c r="A1141" i="1"/>
  <c r="B1141" i="1"/>
  <c r="C1141" i="1"/>
  <c r="D1141" i="1"/>
  <c r="I1141" i="1"/>
  <c r="J1141" i="1"/>
  <c r="A1142" i="1"/>
  <c r="B1142" i="1"/>
  <c r="C1142" i="1"/>
  <c r="D1142" i="1"/>
  <c r="E1142" i="1" s="1"/>
  <c r="I1142" i="1"/>
  <c r="J1142" i="1"/>
  <c r="A1143" i="1"/>
  <c r="B1143" i="1"/>
  <c r="C1143" i="1"/>
  <c r="D1143" i="1"/>
  <c r="I1143" i="1"/>
  <c r="J1143" i="1"/>
  <c r="A1144" i="1"/>
  <c r="B1144" i="1"/>
  <c r="C1144" i="1"/>
  <c r="D1144" i="1"/>
  <c r="E1144" i="1" s="1"/>
  <c r="I1144" i="1"/>
  <c r="J1144" i="1"/>
  <c r="A1145" i="1"/>
  <c r="B1145" i="1"/>
  <c r="C1145" i="1"/>
  <c r="D1145" i="1"/>
  <c r="I1145" i="1"/>
  <c r="J1145" i="1"/>
  <c r="A1146" i="1"/>
  <c r="B1146" i="1"/>
  <c r="C1146" i="1"/>
  <c r="D1146" i="1"/>
  <c r="E1146" i="1"/>
  <c r="I1146" i="1"/>
  <c r="J1146" i="1"/>
  <c r="A1147" i="1"/>
  <c r="B1147" i="1"/>
  <c r="C1147" i="1"/>
  <c r="D1147" i="1"/>
  <c r="I1147" i="1"/>
  <c r="J1147" i="1"/>
  <c r="A1148" i="1"/>
  <c r="B1148" i="1"/>
  <c r="C1148" i="1"/>
  <c r="D1148" i="1"/>
  <c r="E1148" i="1" s="1"/>
  <c r="I1148" i="1"/>
  <c r="J1148" i="1"/>
  <c r="A1149" i="1"/>
  <c r="B1149" i="1"/>
  <c r="C1149" i="1"/>
  <c r="E1149" i="1"/>
  <c r="I1149" i="1"/>
  <c r="J1149" i="1"/>
  <c r="A1150" i="1"/>
  <c r="B1150" i="1"/>
  <c r="C1150" i="1"/>
  <c r="E1150" i="1"/>
  <c r="I1150" i="1"/>
  <c r="J1150" i="1"/>
  <c r="A1151" i="1"/>
  <c r="B1151" i="1"/>
  <c r="C1151" i="1"/>
  <c r="E1151" i="1"/>
  <c r="I1151" i="1"/>
  <c r="J1151" i="1"/>
  <c r="A1152" i="1"/>
  <c r="B1152" i="1"/>
  <c r="C1152" i="1"/>
  <c r="E1152" i="1"/>
  <c r="I1152" i="1"/>
  <c r="J1152" i="1"/>
  <c r="A1153" i="1"/>
  <c r="B1153" i="1"/>
  <c r="C1153" i="1"/>
  <c r="E1153" i="1"/>
  <c r="I1153" i="1"/>
  <c r="J1153" i="1"/>
  <c r="A1154" i="1"/>
  <c r="B1154" i="1"/>
  <c r="C1154" i="1"/>
  <c r="E1154" i="1"/>
  <c r="I1154" i="1"/>
  <c r="J1154" i="1"/>
  <c r="A1155" i="1"/>
  <c r="B1155" i="1"/>
  <c r="C1155" i="1"/>
  <c r="E1155" i="1"/>
  <c r="I1155" i="1"/>
  <c r="J1155" i="1"/>
  <c r="A1156" i="1"/>
  <c r="B1156" i="1"/>
  <c r="C1156" i="1"/>
  <c r="E1156" i="1"/>
  <c r="I1156" i="1"/>
  <c r="J1156" i="1"/>
  <c r="A1157" i="1"/>
  <c r="B1157" i="1"/>
  <c r="C1157" i="1"/>
  <c r="E1157" i="1"/>
  <c r="I1157" i="1"/>
  <c r="J1157" i="1"/>
  <c r="A1158" i="1"/>
  <c r="B1158" i="1"/>
  <c r="C1158" i="1"/>
  <c r="E1158" i="1"/>
  <c r="I1158" i="1"/>
  <c r="J1158" i="1"/>
  <c r="A1159" i="1"/>
  <c r="B1159" i="1"/>
  <c r="C1159" i="1"/>
  <c r="E1159" i="1"/>
  <c r="I1159" i="1"/>
  <c r="J1159" i="1"/>
  <c r="A1160" i="1"/>
  <c r="B1160" i="1"/>
  <c r="C1160" i="1"/>
  <c r="E1160" i="1"/>
  <c r="I1160" i="1"/>
  <c r="J1160" i="1"/>
  <c r="A1161" i="1"/>
  <c r="B1161" i="1"/>
  <c r="C1161" i="1"/>
  <c r="E1161" i="1"/>
  <c r="I1161" i="1"/>
  <c r="J1161" i="1"/>
  <c r="A1162" i="1"/>
  <c r="B1162" i="1"/>
  <c r="C1162" i="1"/>
  <c r="E1162" i="1"/>
  <c r="I1162" i="1"/>
  <c r="J1162" i="1"/>
  <c r="A1163" i="1"/>
  <c r="B1163" i="1"/>
  <c r="C1163" i="1"/>
  <c r="E1163" i="1"/>
  <c r="I1163" i="1"/>
  <c r="J1163" i="1"/>
  <c r="A1164" i="1"/>
  <c r="B1164" i="1"/>
  <c r="C1164" i="1"/>
  <c r="E1164" i="1"/>
  <c r="I1164" i="1"/>
  <c r="J1164" i="1"/>
  <c r="A1165" i="1"/>
  <c r="B1165" i="1"/>
  <c r="C1165" i="1"/>
  <c r="E1165" i="1"/>
  <c r="I1165" i="1"/>
  <c r="J1165" i="1"/>
  <c r="A1166" i="1"/>
  <c r="B1166" i="1"/>
  <c r="C1166" i="1"/>
  <c r="E1166" i="1"/>
  <c r="I1166" i="1"/>
  <c r="J1166" i="1"/>
  <c r="A1167" i="1"/>
  <c r="B1167" i="1"/>
  <c r="C1167" i="1"/>
  <c r="E1167" i="1"/>
  <c r="I1167" i="1"/>
  <c r="J1167" i="1"/>
  <c r="A1168" i="1"/>
  <c r="B1168" i="1"/>
  <c r="C1168" i="1"/>
  <c r="E1168" i="1"/>
  <c r="I1168" i="1"/>
  <c r="J1168" i="1"/>
  <c r="A1169" i="1"/>
  <c r="B1169" i="1"/>
  <c r="C1169" i="1"/>
  <c r="D1169" i="1"/>
  <c r="E1169" i="1" s="1"/>
  <c r="I1169" i="1"/>
  <c r="J1169" i="1"/>
  <c r="A1170" i="1"/>
  <c r="B1170" i="1"/>
  <c r="C1170" i="1"/>
  <c r="D1170" i="1"/>
  <c r="I1170" i="1"/>
  <c r="J1170" i="1"/>
  <c r="A1171" i="1"/>
  <c r="B1171" i="1"/>
  <c r="C1171" i="1"/>
  <c r="D1171" i="1"/>
  <c r="I1171" i="1"/>
  <c r="J1171" i="1"/>
  <c r="A1172" i="1"/>
  <c r="B1172" i="1"/>
  <c r="C1172" i="1"/>
  <c r="D1172" i="1"/>
  <c r="I1172" i="1"/>
  <c r="J1172" i="1"/>
  <c r="A1173" i="1"/>
  <c r="B1173" i="1"/>
  <c r="C1173" i="1"/>
  <c r="D1173" i="1"/>
  <c r="I1173" i="1"/>
  <c r="J1173" i="1"/>
  <c r="A1174" i="1"/>
  <c r="B1174" i="1"/>
  <c r="C1174" i="1"/>
  <c r="D1174" i="1"/>
  <c r="I1174" i="1"/>
  <c r="J1174" i="1"/>
  <c r="A1175" i="1"/>
  <c r="B1175" i="1"/>
  <c r="C1175" i="1"/>
  <c r="D1175" i="1"/>
  <c r="I1175" i="1"/>
  <c r="J1175" i="1"/>
  <c r="A1176" i="1"/>
  <c r="B1176" i="1"/>
  <c r="C1176" i="1"/>
  <c r="D1176" i="1"/>
  <c r="I1176" i="1"/>
  <c r="J1176" i="1"/>
  <c r="A1177" i="1"/>
  <c r="B1177" i="1"/>
  <c r="C1177" i="1"/>
  <c r="D1177" i="1"/>
  <c r="I1177" i="1"/>
  <c r="J1177" i="1"/>
  <c r="A1178" i="1"/>
  <c r="B1178" i="1"/>
  <c r="C1178" i="1"/>
  <c r="D1178" i="1"/>
  <c r="I1178" i="1"/>
  <c r="J1178" i="1"/>
  <c r="A1179" i="1"/>
  <c r="B1179" i="1"/>
  <c r="C1179" i="1"/>
  <c r="D1179" i="1"/>
  <c r="I1179" i="1"/>
  <c r="J1179" i="1"/>
  <c r="A1180" i="1"/>
  <c r="B1180" i="1"/>
  <c r="C1180" i="1"/>
  <c r="D1180" i="1"/>
  <c r="I1180" i="1"/>
  <c r="J1180" i="1"/>
  <c r="A1181" i="1"/>
  <c r="B1181" i="1"/>
  <c r="C1181" i="1"/>
  <c r="D1181" i="1"/>
  <c r="I1181" i="1"/>
  <c r="J1181" i="1"/>
  <c r="A1182" i="1"/>
  <c r="B1182" i="1"/>
  <c r="C1182" i="1"/>
  <c r="D1182" i="1"/>
  <c r="I1182" i="1"/>
  <c r="J1182" i="1"/>
  <c r="A1183" i="1"/>
  <c r="B1183" i="1"/>
  <c r="C1183" i="1"/>
  <c r="D1183" i="1"/>
  <c r="I1183" i="1"/>
  <c r="J1183" i="1"/>
  <c r="A1184" i="1"/>
  <c r="B1184" i="1"/>
  <c r="C1184" i="1"/>
  <c r="D1184" i="1"/>
  <c r="I1184" i="1"/>
  <c r="J1184" i="1"/>
  <c r="A1185" i="1"/>
  <c r="B1185" i="1"/>
  <c r="C1185" i="1"/>
  <c r="D1185" i="1"/>
  <c r="I1185" i="1"/>
  <c r="J1185" i="1"/>
  <c r="A1186" i="1"/>
  <c r="B1186" i="1"/>
  <c r="C1186" i="1"/>
  <c r="D1186" i="1"/>
  <c r="I1186" i="1"/>
  <c r="J1186" i="1"/>
  <c r="A1187" i="1"/>
  <c r="B1187" i="1"/>
  <c r="C1187" i="1"/>
  <c r="D1187" i="1"/>
  <c r="I1187" i="1"/>
  <c r="J1187" i="1"/>
  <c r="A1188" i="1"/>
  <c r="B1188" i="1"/>
  <c r="C1188" i="1"/>
  <c r="D1188" i="1"/>
  <c r="I1188" i="1"/>
  <c r="J1188" i="1"/>
  <c r="A1189" i="1"/>
  <c r="B1189" i="1"/>
  <c r="C1189" i="1"/>
  <c r="D1189" i="1"/>
  <c r="I1189" i="1"/>
  <c r="J1189" i="1"/>
  <c r="A1190" i="1"/>
  <c r="B1190" i="1"/>
  <c r="C1190" i="1"/>
  <c r="D1190" i="1"/>
  <c r="I1190" i="1"/>
  <c r="J1190" i="1"/>
  <c r="A1191" i="1"/>
  <c r="B1191" i="1"/>
  <c r="C1191" i="1"/>
  <c r="D1191" i="1"/>
  <c r="I1191" i="1"/>
  <c r="J1191" i="1"/>
  <c r="A1192" i="1"/>
  <c r="B1192" i="1"/>
  <c r="C1192" i="1"/>
  <c r="D1192" i="1"/>
  <c r="I1192" i="1"/>
  <c r="J1192" i="1"/>
  <c r="A1193" i="1"/>
  <c r="B1193" i="1"/>
  <c r="C1193" i="1"/>
  <c r="D1193" i="1"/>
  <c r="I1193" i="1"/>
  <c r="J1193" i="1"/>
  <c r="A1194" i="1"/>
  <c r="B1194" i="1"/>
  <c r="C1194" i="1"/>
  <c r="D1194" i="1"/>
  <c r="I1194" i="1"/>
  <c r="J1194" i="1"/>
  <c r="A1195" i="1"/>
  <c r="B1195" i="1"/>
  <c r="C1195" i="1"/>
  <c r="D1195" i="1"/>
  <c r="I1195" i="1"/>
  <c r="J1195" i="1"/>
  <c r="A1196" i="1"/>
  <c r="B1196" i="1"/>
  <c r="C1196" i="1"/>
  <c r="D1196" i="1"/>
  <c r="I1196" i="1"/>
  <c r="J1196" i="1"/>
  <c r="A1197" i="1"/>
  <c r="B1197" i="1"/>
  <c r="C1197" i="1"/>
  <c r="D1197" i="1"/>
  <c r="I1197" i="1"/>
  <c r="J1197" i="1"/>
  <c r="A1198" i="1"/>
  <c r="B1198" i="1"/>
  <c r="C1198" i="1"/>
  <c r="D1198" i="1"/>
  <c r="I1198" i="1"/>
  <c r="J1198" i="1"/>
  <c r="A1199" i="1"/>
  <c r="B1199" i="1"/>
  <c r="C1199" i="1"/>
  <c r="D1199" i="1"/>
  <c r="I1199" i="1"/>
  <c r="J1199" i="1"/>
  <c r="A1200" i="1"/>
  <c r="B1200" i="1"/>
  <c r="C1200" i="1"/>
  <c r="D1200" i="1"/>
  <c r="I1200" i="1"/>
  <c r="J1200" i="1"/>
  <c r="A1201" i="1"/>
  <c r="B1201" i="1"/>
  <c r="C1201" i="1"/>
  <c r="D1201" i="1"/>
  <c r="I1201" i="1"/>
  <c r="J1201" i="1"/>
  <c r="A1202" i="1"/>
  <c r="B1202" i="1"/>
  <c r="C1202" i="1"/>
  <c r="D1202" i="1"/>
  <c r="I1202" i="1"/>
  <c r="J1202" i="1"/>
  <c r="A1203" i="1"/>
  <c r="B1203" i="1"/>
  <c r="C1203" i="1"/>
  <c r="D1203" i="1"/>
  <c r="I1203" i="1"/>
  <c r="J1203" i="1"/>
  <c r="A1204" i="1"/>
  <c r="B1204" i="1"/>
  <c r="C1204" i="1"/>
  <c r="D1204" i="1"/>
  <c r="I1204" i="1"/>
  <c r="J1204" i="1"/>
  <c r="A1205" i="1"/>
  <c r="B1205" i="1"/>
  <c r="C1205" i="1"/>
  <c r="D1205" i="1"/>
  <c r="I1205" i="1"/>
  <c r="J1205" i="1"/>
  <c r="A1206" i="1"/>
  <c r="B1206" i="1"/>
  <c r="C1206" i="1"/>
  <c r="D1206" i="1"/>
  <c r="I1206" i="1"/>
  <c r="J1206" i="1"/>
  <c r="A1207" i="1"/>
  <c r="B1207" i="1"/>
  <c r="C1207" i="1"/>
  <c r="D1207" i="1"/>
  <c r="I1207" i="1"/>
  <c r="J1207" i="1"/>
  <c r="A1208" i="1"/>
  <c r="B1208" i="1"/>
  <c r="C1208" i="1"/>
  <c r="D1208" i="1"/>
  <c r="E1208" i="1" s="1"/>
  <c r="I1208" i="1"/>
  <c r="J1208" i="1"/>
  <c r="A1209" i="1"/>
  <c r="B1209" i="1"/>
  <c r="C1209" i="1"/>
  <c r="D1209" i="1"/>
  <c r="E1209" i="1" s="1"/>
  <c r="I1209" i="1"/>
  <c r="J1209" i="1"/>
  <c r="A1210" i="1"/>
  <c r="B1210" i="1"/>
  <c r="C1210" i="1"/>
  <c r="D1210" i="1"/>
  <c r="E1210" i="1" s="1"/>
  <c r="I1210" i="1"/>
  <c r="J1210" i="1"/>
  <c r="A1211" i="1"/>
  <c r="B1211" i="1"/>
  <c r="C1211" i="1"/>
  <c r="D1211" i="1"/>
  <c r="I1211" i="1"/>
  <c r="J1211" i="1"/>
  <c r="A1212" i="1"/>
  <c r="B1212" i="1"/>
  <c r="C1212" i="1"/>
  <c r="D1212" i="1"/>
  <c r="E1212" i="1"/>
  <c r="I1212" i="1"/>
  <c r="J1212" i="1"/>
  <c r="A1213" i="1"/>
  <c r="B1213" i="1"/>
  <c r="C1213" i="1"/>
  <c r="D1213" i="1"/>
  <c r="E1213" i="1" s="1"/>
  <c r="I1213" i="1"/>
  <c r="J1213" i="1"/>
  <c r="A1214" i="1"/>
  <c r="B1214" i="1"/>
  <c r="C1214" i="1"/>
  <c r="D1214" i="1"/>
  <c r="I1214" i="1"/>
  <c r="J1214" i="1"/>
  <c r="A1215" i="1"/>
  <c r="B1215" i="1"/>
  <c r="C1215" i="1"/>
  <c r="D1215" i="1"/>
  <c r="I1215" i="1"/>
  <c r="J1215" i="1"/>
  <c r="A1216" i="1"/>
  <c r="B1216" i="1"/>
  <c r="C1216" i="1"/>
  <c r="D1216" i="1"/>
  <c r="E1216" i="1" s="1"/>
  <c r="I1216" i="1"/>
  <c r="J1216" i="1"/>
  <c r="A1217" i="1"/>
  <c r="B1217" i="1"/>
  <c r="C1217" i="1"/>
  <c r="D1217" i="1"/>
  <c r="E1217" i="1" s="1"/>
  <c r="I1217" i="1"/>
  <c r="J1217" i="1"/>
  <c r="A1218" i="1"/>
  <c r="B1218" i="1"/>
  <c r="C1218" i="1"/>
  <c r="D1218" i="1"/>
  <c r="E1218" i="1"/>
  <c r="I1218" i="1"/>
  <c r="J1218" i="1"/>
  <c r="A1219" i="1"/>
  <c r="B1219" i="1"/>
  <c r="C1219" i="1"/>
  <c r="D1219" i="1"/>
  <c r="I1219" i="1"/>
  <c r="J1219" i="1"/>
  <c r="A1220" i="1"/>
  <c r="B1220" i="1"/>
  <c r="C1220" i="1"/>
  <c r="D1220" i="1"/>
  <c r="E1220" i="1" s="1"/>
  <c r="I1220" i="1"/>
  <c r="J1220" i="1"/>
  <c r="A1221" i="1"/>
  <c r="B1221" i="1"/>
  <c r="C1221" i="1"/>
  <c r="D1221" i="1"/>
  <c r="E1221" i="1" s="1"/>
  <c r="I1221" i="1"/>
  <c r="J1221" i="1"/>
  <c r="A1222" i="1"/>
  <c r="B1222" i="1"/>
  <c r="C1222" i="1"/>
  <c r="D1222" i="1"/>
  <c r="I1222" i="1"/>
  <c r="J1222" i="1"/>
  <c r="A1223" i="1"/>
  <c r="B1223" i="1"/>
  <c r="C1223" i="1"/>
  <c r="D1223" i="1"/>
  <c r="I1223" i="1"/>
  <c r="J1223" i="1"/>
  <c r="A1224" i="1"/>
  <c r="B1224" i="1"/>
  <c r="C1224" i="1"/>
  <c r="D1224" i="1"/>
  <c r="E1224" i="1" s="1"/>
  <c r="I1224" i="1"/>
  <c r="J1224" i="1"/>
  <c r="A1225" i="1"/>
  <c r="B1225" i="1"/>
  <c r="C1225" i="1"/>
  <c r="D1225" i="1"/>
  <c r="E1225" i="1"/>
  <c r="I1225" i="1"/>
  <c r="J1225" i="1"/>
  <c r="A1226" i="1"/>
  <c r="B1226" i="1"/>
  <c r="C1226" i="1"/>
  <c r="D1226" i="1"/>
  <c r="E1226" i="1" s="1"/>
  <c r="I1226" i="1"/>
  <c r="J1226" i="1"/>
  <c r="A1227" i="1"/>
  <c r="B1227" i="1"/>
  <c r="C1227" i="1"/>
  <c r="D1227" i="1"/>
  <c r="I1227" i="1"/>
  <c r="J1227" i="1"/>
  <c r="A1228" i="1"/>
  <c r="B1228" i="1"/>
  <c r="C1228" i="1"/>
  <c r="D1228" i="1"/>
  <c r="E1228" i="1" s="1"/>
  <c r="I1228" i="1"/>
  <c r="J1228" i="1"/>
  <c r="A1229" i="1"/>
  <c r="B1229" i="1"/>
  <c r="C1229" i="1"/>
  <c r="D1229" i="1"/>
  <c r="E1229" i="1" s="1"/>
  <c r="I1229" i="1"/>
  <c r="J1229" i="1"/>
  <c r="A1230" i="1"/>
  <c r="B1230" i="1"/>
  <c r="C1230" i="1"/>
  <c r="D1230" i="1"/>
  <c r="I1230" i="1"/>
  <c r="J1230" i="1"/>
  <c r="A1231" i="1"/>
  <c r="B1231" i="1"/>
  <c r="C1231" i="1"/>
  <c r="D1231" i="1"/>
  <c r="I1231" i="1"/>
  <c r="J1231" i="1"/>
  <c r="A1232" i="1"/>
  <c r="B1232" i="1"/>
  <c r="C1232" i="1"/>
  <c r="D1232" i="1"/>
  <c r="E1232" i="1"/>
  <c r="I1232" i="1"/>
  <c r="J1232" i="1"/>
  <c r="A1233" i="1"/>
  <c r="B1233" i="1"/>
  <c r="C1233" i="1"/>
  <c r="D1233" i="1"/>
  <c r="E1233" i="1" s="1"/>
  <c r="I1233" i="1"/>
  <c r="J1233" i="1"/>
  <c r="A1234" i="1"/>
  <c r="B1234" i="1"/>
  <c r="C1234" i="1"/>
  <c r="D1234" i="1"/>
  <c r="E1234" i="1"/>
  <c r="I1234" i="1"/>
  <c r="J1234" i="1"/>
  <c r="A1235" i="1"/>
  <c r="B1235" i="1"/>
  <c r="C1235" i="1"/>
  <c r="D1235" i="1"/>
  <c r="I1235" i="1"/>
  <c r="J1235" i="1"/>
  <c r="A1236" i="1"/>
  <c r="B1236" i="1"/>
  <c r="C1236" i="1"/>
  <c r="D1236" i="1"/>
  <c r="I1236" i="1"/>
  <c r="J1236" i="1"/>
  <c r="A1237" i="1"/>
  <c r="B1237" i="1"/>
  <c r="C1237" i="1"/>
  <c r="D1237" i="1"/>
  <c r="I1237" i="1"/>
  <c r="J1237" i="1"/>
  <c r="A1238" i="1"/>
  <c r="B1238" i="1"/>
  <c r="C1238" i="1"/>
  <c r="D1238" i="1"/>
  <c r="I1238" i="1"/>
  <c r="J1238" i="1"/>
  <c r="A1239" i="1"/>
  <c r="B1239" i="1"/>
  <c r="C1239" i="1"/>
  <c r="D1239" i="1"/>
  <c r="I1239" i="1"/>
  <c r="J1239" i="1"/>
  <c r="A1240" i="1"/>
  <c r="B1240" i="1"/>
  <c r="C1240" i="1"/>
  <c r="D1240" i="1"/>
  <c r="I1240" i="1"/>
  <c r="J1240" i="1"/>
  <c r="A1241" i="1"/>
  <c r="B1241" i="1"/>
  <c r="C1241" i="1"/>
  <c r="D1241" i="1"/>
  <c r="I1241" i="1"/>
  <c r="J1241" i="1"/>
  <c r="A1242" i="1"/>
  <c r="B1242" i="1"/>
  <c r="C1242" i="1"/>
  <c r="D1242" i="1"/>
  <c r="I1242" i="1"/>
  <c r="J1242" i="1"/>
  <c r="A1243" i="1"/>
  <c r="B1243" i="1"/>
  <c r="C1243" i="1"/>
  <c r="D1243" i="1"/>
  <c r="I1243" i="1"/>
  <c r="J1243" i="1"/>
  <c r="A1244" i="1"/>
  <c r="B1244" i="1"/>
  <c r="C1244" i="1"/>
  <c r="D1244" i="1"/>
  <c r="I1244" i="1"/>
  <c r="J1244" i="1"/>
  <c r="A1245" i="1"/>
  <c r="B1245" i="1"/>
  <c r="C1245" i="1"/>
  <c r="D1245" i="1"/>
  <c r="I1245" i="1"/>
  <c r="J1245" i="1"/>
  <c r="A1246" i="1"/>
  <c r="B1246" i="1"/>
  <c r="C1246" i="1"/>
  <c r="D1246" i="1"/>
  <c r="I1246" i="1"/>
  <c r="J1246" i="1"/>
  <c r="A1247" i="1"/>
  <c r="B1247" i="1"/>
  <c r="C1247" i="1"/>
  <c r="D1247" i="1"/>
  <c r="I1247" i="1"/>
  <c r="J1247" i="1"/>
  <c r="A1248" i="1"/>
  <c r="B1248" i="1"/>
  <c r="C1248" i="1"/>
  <c r="D1248" i="1"/>
  <c r="I1248" i="1"/>
  <c r="J1248" i="1"/>
  <c r="A1249" i="1"/>
  <c r="B1249" i="1"/>
  <c r="C1249" i="1"/>
  <c r="D1249" i="1"/>
  <c r="I1249" i="1"/>
  <c r="J1249" i="1"/>
  <c r="A1250" i="1"/>
  <c r="B1250" i="1"/>
  <c r="C1250" i="1"/>
  <c r="D1250" i="1"/>
  <c r="I1250" i="1"/>
  <c r="J1250" i="1"/>
  <c r="A1251" i="1"/>
  <c r="B1251" i="1"/>
  <c r="C1251" i="1"/>
  <c r="D1251" i="1"/>
  <c r="I1251" i="1"/>
  <c r="J1251" i="1"/>
  <c r="A1252" i="1"/>
  <c r="B1252" i="1"/>
  <c r="C1252" i="1"/>
  <c r="D1252" i="1"/>
  <c r="I1252" i="1"/>
  <c r="J1252" i="1"/>
  <c r="A1253" i="1"/>
  <c r="B1253" i="1"/>
  <c r="C1253" i="1"/>
  <c r="D1253" i="1"/>
  <c r="I1253" i="1"/>
  <c r="J1253" i="1"/>
  <c r="A1254" i="1"/>
  <c r="B1254" i="1"/>
  <c r="C1254" i="1"/>
  <c r="D1254" i="1"/>
  <c r="I1254" i="1"/>
  <c r="J1254" i="1"/>
  <c r="A1255" i="1"/>
  <c r="B1255" i="1"/>
  <c r="C1255" i="1"/>
  <c r="D1255" i="1"/>
  <c r="I1255" i="1"/>
  <c r="J1255" i="1"/>
  <c r="A1256" i="1"/>
  <c r="B1256" i="1"/>
  <c r="C1256" i="1"/>
  <c r="D1256" i="1"/>
  <c r="I1256" i="1"/>
  <c r="J1256" i="1"/>
  <c r="A1257" i="1"/>
  <c r="B1257" i="1"/>
  <c r="C1257" i="1"/>
  <c r="D1257" i="1"/>
  <c r="I1257" i="1"/>
  <c r="J1257" i="1"/>
  <c r="A1258" i="1"/>
  <c r="B1258" i="1"/>
  <c r="C1258" i="1"/>
  <c r="D1258" i="1"/>
  <c r="I1258" i="1"/>
  <c r="J1258" i="1"/>
  <c r="A1259" i="1"/>
  <c r="B1259" i="1"/>
  <c r="C1259" i="1"/>
  <c r="D1259" i="1"/>
  <c r="I1259" i="1"/>
  <c r="J1259" i="1"/>
  <c r="A1260" i="1"/>
  <c r="B1260" i="1"/>
  <c r="C1260" i="1"/>
  <c r="D1260" i="1"/>
  <c r="I1260" i="1"/>
  <c r="J1260" i="1"/>
  <c r="A1261" i="1"/>
  <c r="B1261" i="1"/>
  <c r="C1261" i="1"/>
  <c r="D1261" i="1"/>
  <c r="I1261" i="1"/>
  <c r="J1261" i="1"/>
  <c r="A1262" i="1"/>
  <c r="B1262" i="1"/>
  <c r="C1262" i="1"/>
  <c r="D1262" i="1"/>
  <c r="I1262" i="1"/>
  <c r="J1262" i="1"/>
  <c r="A1263" i="1"/>
  <c r="B1263" i="1"/>
  <c r="C1263" i="1"/>
  <c r="D1263" i="1"/>
  <c r="I1263" i="1"/>
  <c r="J1263" i="1"/>
  <c r="A1264" i="1"/>
  <c r="B1264" i="1"/>
  <c r="C1264" i="1"/>
  <c r="D1264" i="1"/>
  <c r="I1264" i="1"/>
  <c r="J1264" i="1"/>
  <c r="A1265" i="1"/>
  <c r="B1265" i="1"/>
  <c r="C1265" i="1"/>
  <c r="D1265" i="1"/>
  <c r="I1265" i="1"/>
  <c r="J1265" i="1"/>
  <c r="A1266" i="1"/>
  <c r="B1266" i="1"/>
  <c r="C1266" i="1"/>
  <c r="D1266" i="1"/>
  <c r="I1266" i="1"/>
  <c r="J1266" i="1"/>
  <c r="A1267" i="1"/>
  <c r="B1267" i="1"/>
  <c r="C1267" i="1"/>
  <c r="D1267" i="1"/>
  <c r="I1267" i="1"/>
  <c r="J1267" i="1"/>
  <c r="A1268" i="1"/>
  <c r="B1268" i="1"/>
  <c r="C1268" i="1"/>
  <c r="D1268" i="1"/>
  <c r="I1268" i="1"/>
  <c r="J1268" i="1"/>
  <c r="A1269" i="1"/>
  <c r="B1269" i="1"/>
  <c r="C1269" i="1"/>
  <c r="D1269" i="1"/>
  <c r="I1269" i="1"/>
  <c r="J1269" i="1"/>
  <c r="A1270" i="1"/>
  <c r="B1270" i="1"/>
  <c r="C1270" i="1"/>
  <c r="E1270" i="1"/>
  <c r="I1270" i="1"/>
  <c r="J1270" i="1"/>
  <c r="A1271" i="1"/>
  <c r="B1271" i="1"/>
  <c r="C1271" i="1"/>
  <c r="E1271" i="1"/>
  <c r="I1271" i="1"/>
  <c r="J1271" i="1"/>
  <c r="A1272" i="1"/>
  <c r="B1272" i="1"/>
  <c r="C1272" i="1"/>
  <c r="E1272" i="1"/>
  <c r="I1272" i="1"/>
  <c r="J1272" i="1"/>
  <c r="A1273" i="1"/>
  <c r="B1273" i="1"/>
  <c r="C1273" i="1"/>
  <c r="E1273" i="1"/>
  <c r="I1273" i="1"/>
  <c r="J1273" i="1"/>
  <c r="A1274" i="1"/>
  <c r="B1274" i="1"/>
  <c r="C1274" i="1"/>
  <c r="E1274" i="1"/>
  <c r="I1274" i="1"/>
  <c r="J1274" i="1"/>
  <c r="A1275" i="1"/>
  <c r="B1275" i="1"/>
  <c r="C1275" i="1"/>
  <c r="E1275" i="1"/>
  <c r="I1275" i="1"/>
  <c r="J1275" i="1"/>
  <c r="A1276" i="1"/>
  <c r="B1276" i="1"/>
  <c r="C1276" i="1"/>
  <c r="E1276" i="1"/>
  <c r="I1276" i="1"/>
  <c r="J1276" i="1"/>
  <c r="A1277" i="1"/>
  <c r="B1277" i="1"/>
  <c r="C1277" i="1"/>
  <c r="E1277" i="1"/>
  <c r="I1277" i="1"/>
  <c r="J1277" i="1"/>
  <c r="A1278" i="1"/>
  <c r="B1278" i="1"/>
  <c r="C1278" i="1"/>
  <c r="E1278" i="1"/>
  <c r="I1278" i="1"/>
  <c r="J1278" i="1"/>
  <c r="A1279" i="1"/>
  <c r="B1279" i="1"/>
  <c r="C1279" i="1"/>
  <c r="E1279" i="1"/>
  <c r="I1279" i="1"/>
  <c r="J1279" i="1"/>
  <c r="A1280" i="1"/>
  <c r="B1280" i="1"/>
  <c r="C1280" i="1"/>
  <c r="E1280" i="1"/>
  <c r="I1280" i="1"/>
  <c r="J1280" i="1"/>
  <c r="A1281" i="1"/>
  <c r="B1281" i="1"/>
  <c r="C1281" i="1"/>
  <c r="E1281" i="1"/>
  <c r="I1281" i="1"/>
  <c r="J1281" i="1"/>
  <c r="A1282" i="1"/>
  <c r="B1282" i="1"/>
  <c r="C1282" i="1"/>
  <c r="E1282" i="1"/>
  <c r="I1282" i="1"/>
  <c r="J1282" i="1"/>
  <c r="A1283" i="1"/>
  <c r="B1283" i="1"/>
  <c r="C1283" i="1"/>
  <c r="E1283" i="1"/>
  <c r="I1283" i="1"/>
  <c r="J1283" i="1"/>
  <c r="A1284" i="1"/>
  <c r="B1284" i="1"/>
  <c r="C1284" i="1"/>
  <c r="E1284" i="1"/>
  <c r="I1284" i="1"/>
  <c r="J1284" i="1"/>
  <c r="A1285" i="1"/>
  <c r="B1285" i="1"/>
  <c r="C1285" i="1"/>
  <c r="E1285" i="1"/>
  <c r="I1285" i="1"/>
  <c r="J1285" i="1"/>
  <c r="A1286" i="1"/>
  <c r="B1286" i="1"/>
  <c r="C1286" i="1"/>
  <c r="E1286" i="1"/>
  <c r="I1286" i="1"/>
  <c r="J1286" i="1"/>
  <c r="A1287" i="1"/>
  <c r="B1287" i="1"/>
  <c r="C1287" i="1"/>
  <c r="E1287" i="1"/>
  <c r="I1287" i="1"/>
  <c r="J1287" i="1"/>
  <c r="A1288" i="1"/>
  <c r="B1288" i="1"/>
  <c r="C1288" i="1"/>
  <c r="D1288" i="1"/>
  <c r="E1288" i="1" s="1"/>
  <c r="I1288" i="1"/>
  <c r="J1288" i="1"/>
  <c r="A1289" i="1"/>
  <c r="B1289" i="1"/>
  <c r="C1289" i="1"/>
  <c r="D1289" i="1"/>
  <c r="I1289" i="1"/>
  <c r="J1289" i="1"/>
  <c r="A1290" i="1"/>
  <c r="B1290" i="1"/>
  <c r="C1290" i="1"/>
  <c r="D1290" i="1"/>
  <c r="I1290" i="1"/>
  <c r="J1290" i="1"/>
  <c r="A1291" i="1"/>
  <c r="B1291" i="1"/>
  <c r="C1291" i="1"/>
  <c r="D1291" i="1"/>
  <c r="E1291" i="1"/>
  <c r="I1291" i="1"/>
  <c r="J1291" i="1"/>
  <c r="A1292" i="1"/>
  <c r="B1292" i="1"/>
  <c r="C1292" i="1"/>
  <c r="D1292" i="1"/>
  <c r="E1292" i="1" s="1"/>
  <c r="I1292" i="1"/>
  <c r="J1292" i="1"/>
  <c r="A1293" i="1"/>
  <c r="B1293" i="1"/>
  <c r="C1293" i="1"/>
  <c r="D1293" i="1"/>
  <c r="E1293" i="1" s="1"/>
  <c r="I1293" i="1"/>
  <c r="J1293" i="1"/>
  <c r="A1294" i="1"/>
  <c r="B1294" i="1"/>
  <c r="C1294" i="1"/>
  <c r="D1294" i="1"/>
  <c r="E1294" i="1" s="1"/>
  <c r="I1294" i="1"/>
  <c r="J1294" i="1"/>
  <c r="A1295" i="1"/>
  <c r="B1295" i="1"/>
  <c r="C1295" i="1"/>
  <c r="D1295" i="1"/>
  <c r="E1295" i="1"/>
  <c r="I1295" i="1"/>
  <c r="J1295" i="1"/>
  <c r="A1296" i="1"/>
  <c r="B1296" i="1"/>
  <c r="C1296" i="1"/>
  <c r="D1296" i="1"/>
  <c r="E1296" i="1" s="1"/>
  <c r="I1296" i="1"/>
  <c r="J1296" i="1"/>
  <c r="A1297" i="1"/>
  <c r="B1297" i="1"/>
  <c r="C1297" i="1"/>
  <c r="D1297" i="1"/>
  <c r="E1297" i="1" s="1"/>
  <c r="I1297" i="1"/>
  <c r="J1297" i="1"/>
  <c r="A1298" i="1"/>
  <c r="B1298" i="1"/>
  <c r="C1298" i="1"/>
  <c r="D1298" i="1"/>
  <c r="E1298" i="1" s="1"/>
  <c r="I1298" i="1"/>
  <c r="J1298" i="1"/>
  <c r="A1299" i="1"/>
  <c r="B1299" i="1"/>
  <c r="C1299" i="1"/>
  <c r="D1299" i="1"/>
  <c r="E1299" i="1"/>
  <c r="I1299" i="1"/>
  <c r="J1299" i="1"/>
  <c r="A1300" i="1"/>
  <c r="B1300" i="1"/>
  <c r="C1300" i="1"/>
  <c r="D1300" i="1"/>
  <c r="E1300" i="1" s="1"/>
  <c r="I1300" i="1"/>
  <c r="J1300" i="1"/>
  <c r="A1301" i="1"/>
  <c r="B1301" i="1"/>
  <c r="C1301" i="1"/>
  <c r="D1301" i="1"/>
  <c r="E1301" i="1"/>
  <c r="I1301" i="1"/>
  <c r="J1301" i="1"/>
  <c r="A1302" i="1"/>
  <c r="B1302" i="1"/>
  <c r="C1302" i="1"/>
  <c r="D1302" i="1"/>
  <c r="E1302" i="1" s="1"/>
  <c r="I1302" i="1"/>
  <c r="J1302" i="1"/>
  <c r="A1303" i="1"/>
  <c r="B1303" i="1"/>
  <c r="C1303" i="1"/>
  <c r="D1303" i="1"/>
  <c r="E1303" i="1"/>
  <c r="I1303" i="1"/>
  <c r="J1303" i="1"/>
  <c r="A1304" i="1"/>
  <c r="B1304" i="1"/>
  <c r="C1304" i="1"/>
  <c r="D1304" i="1"/>
  <c r="E1304" i="1" s="1"/>
  <c r="I1304" i="1"/>
  <c r="J1304" i="1"/>
  <c r="A1305" i="1"/>
  <c r="B1305" i="1"/>
  <c r="C1305" i="1"/>
  <c r="D1305" i="1"/>
  <c r="E1305" i="1" s="1"/>
  <c r="I1305" i="1"/>
  <c r="J1305" i="1"/>
  <c r="A1306" i="1"/>
  <c r="B1306" i="1"/>
  <c r="C1306" i="1"/>
  <c r="D1306" i="1"/>
  <c r="E1306" i="1" s="1"/>
  <c r="I1306" i="1"/>
  <c r="J1306" i="1"/>
  <c r="A1307" i="1"/>
  <c r="B1307" i="1"/>
  <c r="C1307" i="1"/>
  <c r="D1307" i="1"/>
  <c r="E1307" i="1"/>
  <c r="I1307" i="1"/>
  <c r="J1307" i="1"/>
  <c r="A1308" i="1"/>
  <c r="B1308" i="1"/>
  <c r="C1308" i="1"/>
  <c r="D1308" i="1"/>
  <c r="E1308" i="1" s="1"/>
  <c r="I1308" i="1"/>
  <c r="J1308" i="1"/>
  <c r="A1309" i="1"/>
  <c r="B1309" i="1"/>
  <c r="C1309" i="1"/>
  <c r="D1309" i="1"/>
  <c r="E1309" i="1" s="1"/>
  <c r="I1309" i="1"/>
  <c r="J1309" i="1"/>
  <c r="A1310" i="1"/>
  <c r="B1310" i="1"/>
  <c r="C1310" i="1"/>
  <c r="D1310" i="1"/>
  <c r="E1310" i="1" s="1"/>
  <c r="I1310" i="1"/>
  <c r="J1310" i="1"/>
  <c r="A1311" i="1"/>
  <c r="B1311" i="1"/>
  <c r="C1311" i="1"/>
  <c r="D1311" i="1"/>
  <c r="E1311" i="1"/>
  <c r="I1311" i="1"/>
  <c r="J1311" i="1"/>
  <c r="A1312" i="1"/>
  <c r="B1312" i="1"/>
  <c r="C1312" i="1"/>
  <c r="D1312" i="1"/>
  <c r="E1312" i="1" s="1"/>
  <c r="I1312" i="1"/>
  <c r="J1312" i="1"/>
  <c r="A1313" i="1"/>
  <c r="B1313" i="1"/>
  <c r="C1313" i="1"/>
  <c r="D1313" i="1"/>
  <c r="E1313" i="1" s="1"/>
  <c r="I1313" i="1"/>
  <c r="J1313" i="1"/>
  <c r="A1314" i="1"/>
  <c r="B1314" i="1"/>
  <c r="C1314" i="1"/>
  <c r="D1314" i="1"/>
  <c r="E1314" i="1" s="1"/>
  <c r="I1314" i="1"/>
  <c r="J1314" i="1"/>
  <c r="A1315" i="1"/>
  <c r="B1315" i="1"/>
  <c r="C1315" i="1"/>
  <c r="D1315" i="1"/>
  <c r="E1315" i="1"/>
  <c r="I1315" i="1"/>
  <c r="J1315" i="1"/>
  <c r="A1316" i="1"/>
  <c r="B1316" i="1"/>
  <c r="C1316" i="1"/>
  <c r="D1316" i="1"/>
  <c r="E1316" i="1" s="1"/>
  <c r="I1316" i="1"/>
  <c r="J1316" i="1"/>
  <c r="A1317" i="1"/>
  <c r="B1317" i="1"/>
  <c r="C1317" i="1"/>
  <c r="D1317" i="1"/>
  <c r="E1317" i="1"/>
  <c r="I1317" i="1"/>
  <c r="J1317" i="1"/>
  <c r="A1318" i="1"/>
  <c r="B1318" i="1"/>
  <c r="C1318" i="1"/>
  <c r="D1318" i="1"/>
  <c r="E1318" i="1" s="1"/>
  <c r="I1318" i="1"/>
  <c r="J1318" i="1"/>
  <c r="A1319" i="1"/>
  <c r="B1319" i="1"/>
  <c r="C1319" i="1"/>
  <c r="D1319" i="1"/>
  <c r="E1319" i="1"/>
  <c r="I1319" i="1"/>
  <c r="J1319" i="1"/>
  <c r="A1320" i="1"/>
  <c r="B1320" i="1"/>
  <c r="C1320" i="1"/>
  <c r="D1320" i="1"/>
  <c r="E1320" i="1" s="1"/>
  <c r="I1320" i="1"/>
  <c r="J1320" i="1"/>
  <c r="A1321" i="1"/>
  <c r="B1321" i="1"/>
  <c r="C1321" i="1"/>
  <c r="D1321" i="1"/>
  <c r="E1321" i="1" s="1"/>
  <c r="I1321" i="1"/>
  <c r="J1321" i="1"/>
  <c r="A1322" i="1"/>
  <c r="B1322" i="1"/>
  <c r="C1322" i="1"/>
  <c r="D1322" i="1"/>
  <c r="E1322" i="1" s="1"/>
  <c r="I1322" i="1"/>
  <c r="J1322" i="1"/>
  <c r="A1323" i="1"/>
  <c r="B1323" i="1"/>
  <c r="C1323" i="1"/>
  <c r="D1323" i="1"/>
  <c r="E1323" i="1"/>
  <c r="I1323" i="1"/>
  <c r="J1323" i="1"/>
  <c r="A1324" i="1"/>
  <c r="B1324" i="1"/>
  <c r="C1324" i="1"/>
  <c r="D1324" i="1"/>
  <c r="E1324" i="1" s="1"/>
  <c r="I1324" i="1"/>
  <c r="J1324" i="1"/>
  <c r="A1325" i="1"/>
  <c r="B1325" i="1"/>
  <c r="C1325" i="1"/>
  <c r="D1325" i="1"/>
  <c r="E1325" i="1" s="1"/>
  <c r="I1325" i="1"/>
  <c r="J1325" i="1"/>
  <c r="A1326" i="1"/>
  <c r="B1326" i="1"/>
  <c r="C1326" i="1"/>
  <c r="D1326" i="1"/>
  <c r="E1326" i="1" s="1"/>
  <c r="I1326" i="1"/>
  <c r="J1326" i="1"/>
  <c r="A1327" i="1"/>
  <c r="B1327" i="1"/>
  <c r="C1327" i="1"/>
  <c r="D1327" i="1"/>
  <c r="E1327" i="1"/>
  <c r="I1327" i="1"/>
  <c r="J1327" i="1"/>
  <c r="A1328" i="1"/>
  <c r="B1328" i="1"/>
  <c r="C1328" i="1"/>
  <c r="D1328" i="1"/>
  <c r="E1328" i="1" s="1"/>
  <c r="I1328" i="1"/>
  <c r="J1328" i="1"/>
  <c r="A1329" i="1"/>
  <c r="B1329" i="1"/>
  <c r="C1329" i="1"/>
  <c r="D1329" i="1"/>
  <c r="E1329" i="1" s="1"/>
  <c r="I1329" i="1"/>
  <c r="J1329" i="1"/>
  <c r="A1330" i="1"/>
  <c r="B1330" i="1"/>
  <c r="C1330" i="1"/>
  <c r="D1330" i="1"/>
  <c r="E1330" i="1" s="1"/>
  <c r="I1330" i="1"/>
  <c r="J1330" i="1"/>
  <c r="A1331" i="1"/>
  <c r="B1331" i="1"/>
  <c r="C1331" i="1"/>
  <c r="D1331" i="1"/>
  <c r="E1331" i="1" s="1"/>
  <c r="I1331" i="1"/>
  <c r="J1331" i="1"/>
  <c r="A1332" i="1"/>
  <c r="B1332" i="1"/>
  <c r="C1332" i="1"/>
  <c r="D1332" i="1"/>
  <c r="E1332" i="1" s="1"/>
  <c r="I1332" i="1"/>
  <c r="J1332" i="1"/>
  <c r="A1333" i="1"/>
  <c r="B1333" i="1"/>
  <c r="C1333" i="1"/>
  <c r="D1333" i="1"/>
  <c r="E1333" i="1"/>
  <c r="I1333" i="1"/>
  <c r="J1333" i="1"/>
  <c r="A1334" i="1"/>
  <c r="B1334" i="1"/>
  <c r="C1334" i="1"/>
  <c r="D1334" i="1"/>
  <c r="E1334" i="1" s="1"/>
  <c r="I1334" i="1"/>
  <c r="J1334" i="1"/>
  <c r="A1335" i="1"/>
  <c r="B1335" i="1"/>
  <c r="C1335" i="1"/>
  <c r="D1335" i="1"/>
  <c r="E1335" i="1" s="1"/>
  <c r="I1335" i="1"/>
  <c r="J1335" i="1"/>
  <c r="A1336" i="1"/>
  <c r="B1336" i="1"/>
  <c r="C1336" i="1"/>
  <c r="D1336" i="1"/>
  <c r="E1336" i="1" s="1"/>
  <c r="I1336" i="1"/>
  <c r="J1336" i="1"/>
  <c r="A1337" i="1"/>
  <c r="B1337" i="1"/>
  <c r="C1337" i="1"/>
  <c r="D1337" i="1"/>
  <c r="E1337" i="1"/>
  <c r="I1337" i="1"/>
  <c r="J1337" i="1"/>
  <c r="A1338" i="1"/>
  <c r="B1338" i="1"/>
  <c r="C1338" i="1"/>
  <c r="D1338" i="1"/>
  <c r="E1338" i="1" s="1"/>
  <c r="I1338" i="1"/>
  <c r="J1338" i="1"/>
  <c r="A1339" i="1"/>
  <c r="B1339" i="1"/>
  <c r="C1339" i="1"/>
  <c r="D1339" i="1"/>
  <c r="E1339" i="1" s="1"/>
  <c r="I1339" i="1"/>
  <c r="J1339" i="1"/>
  <c r="A1340" i="1"/>
  <c r="B1340" i="1"/>
  <c r="C1340" i="1"/>
  <c r="D1340" i="1"/>
  <c r="E1340" i="1" s="1"/>
  <c r="I1340" i="1"/>
  <c r="J1340" i="1"/>
  <c r="A1341" i="1"/>
  <c r="B1341" i="1"/>
  <c r="C1341" i="1"/>
  <c r="D1341" i="1"/>
  <c r="E1341" i="1" s="1"/>
  <c r="I1341" i="1"/>
  <c r="J1341" i="1"/>
  <c r="A1342" i="1"/>
  <c r="B1342" i="1"/>
  <c r="C1342" i="1"/>
  <c r="D1342" i="1"/>
  <c r="E1342" i="1" s="1"/>
  <c r="I1342" i="1"/>
  <c r="J1342" i="1"/>
  <c r="A1343" i="1"/>
  <c r="B1343" i="1"/>
  <c r="C1343" i="1"/>
  <c r="D1343" i="1"/>
  <c r="E1343" i="1"/>
  <c r="I1343" i="1"/>
  <c r="J1343" i="1"/>
  <c r="A1344" i="1"/>
  <c r="B1344" i="1"/>
  <c r="C1344" i="1"/>
  <c r="D1344" i="1"/>
  <c r="E1344" i="1" s="1"/>
  <c r="I1344" i="1"/>
  <c r="J1344" i="1"/>
  <c r="A1345" i="1"/>
  <c r="B1345" i="1"/>
  <c r="C1345" i="1"/>
  <c r="D1345" i="1"/>
  <c r="E1345" i="1" s="1"/>
  <c r="I1345" i="1"/>
  <c r="J1345" i="1"/>
  <c r="A1346" i="1"/>
  <c r="B1346" i="1"/>
  <c r="C1346" i="1"/>
  <c r="D1346" i="1"/>
  <c r="E1346" i="1" s="1"/>
  <c r="I1346" i="1"/>
  <c r="J1346" i="1"/>
  <c r="A1347" i="1"/>
  <c r="B1347" i="1"/>
  <c r="C1347" i="1"/>
  <c r="D1347" i="1"/>
  <c r="E1347" i="1" s="1"/>
  <c r="I1347" i="1"/>
  <c r="J1347" i="1"/>
  <c r="A1348" i="1"/>
  <c r="B1348" i="1"/>
  <c r="C1348" i="1"/>
  <c r="D1348" i="1"/>
  <c r="E1348" i="1" s="1"/>
  <c r="I1348" i="1"/>
  <c r="J1348" i="1"/>
  <c r="A1349" i="1"/>
  <c r="B1349" i="1"/>
  <c r="C1349" i="1"/>
  <c r="D1349" i="1"/>
  <c r="E1349" i="1"/>
  <c r="I1349" i="1"/>
  <c r="J1349" i="1"/>
  <c r="A1350" i="1"/>
  <c r="B1350" i="1"/>
  <c r="C1350" i="1"/>
  <c r="D1350" i="1"/>
  <c r="E1350" i="1" s="1"/>
  <c r="I1350" i="1"/>
  <c r="J1350" i="1"/>
  <c r="A1351" i="1"/>
  <c r="B1351" i="1"/>
  <c r="C1351" i="1"/>
  <c r="D1351" i="1"/>
  <c r="E1351" i="1" s="1"/>
  <c r="I1351" i="1"/>
  <c r="J1351" i="1"/>
  <c r="A1352" i="1"/>
  <c r="B1352" i="1"/>
  <c r="C1352" i="1"/>
  <c r="D1352" i="1"/>
  <c r="E1352" i="1" s="1"/>
  <c r="I1352" i="1"/>
  <c r="J1352" i="1"/>
  <c r="A1353" i="1"/>
  <c r="B1353" i="1"/>
  <c r="C1353" i="1"/>
  <c r="D1353" i="1"/>
  <c r="E1353" i="1"/>
  <c r="I1353" i="1"/>
  <c r="J1353" i="1"/>
  <c r="A1354" i="1"/>
  <c r="B1354" i="1"/>
  <c r="C1354" i="1"/>
  <c r="D1354" i="1"/>
  <c r="E1354" i="1" s="1"/>
  <c r="I1354" i="1"/>
  <c r="J1354" i="1"/>
  <c r="A1355" i="1"/>
  <c r="B1355" i="1"/>
  <c r="C1355" i="1"/>
  <c r="D1355" i="1"/>
  <c r="E1355" i="1" s="1"/>
  <c r="I1355" i="1"/>
  <c r="J1355" i="1"/>
  <c r="A1356" i="1"/>
  <c r="B1356" i="1"/>
  <c r="C1356" i="1"/>
  <c r="D1356" i="1"/>
  <c r="E1356" i="1" s="1"/>
  <c r="I1356" i="1"/>
  <c r="J1356" i="1"/>
  <c r="A1357" i="1"/>
  <c r="B1357" i="1"/>
  <c r="C1357" i="1"/>
  <c r="D1357" i="1"/>
  <c r="E1357" i="1" s="1"/>
  <c r="I1357" i="1"/>
  <c r="J1357" i="1"/>
  <c r="A1358" i="1"/>
  <c r="B1358" i="1"/>
  <c r="C1358" i="1"/>
  <c r="D1358" i="1"/>
  <c r="E1358" i="1" s="1"/>
  <c r="I1358" i="1"/>
  <c r="J1358" i="1"/>
  <c r="A1359" i="1"/>
  <c r="B1359" i="1"/>
  <c r="C1359" i="1"/>
  <c r="D1359" i="1"/>
  <c r="E1359" i="1" s="1"/>
  <c r="I1359" i="1"/>
  <c r="J1359" i="1"/>
  <c r="A1360" i="1"/>
  <c r="B1360" i="1"/>
  <c r="C1360" i="1"/>
  <c r="D1360" i="1"/>
  <c r="E1360" i="1" s="1"/>
  <c r="I1360" i="1"/>
  <c r="J1360" i="1"/>
  <c r="A1361" i="1"/>
  <c r="B1361" i="1"/>
  <c r="C1361" i="1"/>
  <c r="D1361" i="1"/>
  <c r="E1361" i="1"/>
  <c r="I1361" i="1"/>
  <c r="J1361" i="1"/>
  <c r="A1362" i="1"/>
  <c r="B1362" i="1"/>
  <c r="C1362" i="1"/>
  <c r="D1362" i="1"/>
  <c r="E1362" i="1" s="1"/>
  <c r="I1362" i="1"/>
  <c r="J1362" i="1"/>
  <c r="A1363" i="1"/>
  <c r="B1363" i="1"/>
  <c r="C1363" i="1"/>
  <c r="D1363" i="1"/>
  <c r="E1363" i="1" s="1"/>
  <c r="I1363" i="1"/>
  <c r="J1363" i="1"/>
  <c r="A1364" i="1"/>
  <c r="B1364" i="1"/>
  <c r="C1364" i="1"/>
  <c r="D1364" i="1"/>
  <c r="E1364" i="1" s="1"/>
  <c r="I1364" i="1"/>
  <c r="J1364" i="1"/>
  <c r="A1365" i="1"/>
  <c r="B1365" i="1"/>
  <c r="C1365" i="1"/>
  <c r="D1365" i="1"/>
  <c r="E1365" i="1"/>
  <c r="I1365" i="1"/>
  <c r="J1365" i="1"/>
  <c r="A1366" i="1"/>
  <c r="B1366" i="1"/>
  <c r="C1366" i="1"/>
  <c r="D1366" i="1"/>
  <c r="E1366" i="1" s="1"/>
  <c r="I1366" i="1"/>
  <c r="J1366" i="1"/>
  <c r="A1367" i="1"/>
  <c r="B1367" i="1"/>
  <c r="C1367" i="1"/>
  <c r="D1367" i="1"/>
  <c r="E1367" i="1" s="1"/>
  <c r="I1367" i="1"/>
  <c r="J1367" i="1"/>
  <c r="A1368" i="1"/>
  <c r="B1368" i="1"/>
  <c r="C1368" i="1"/>
  <c r="D1368" i="1"/>
  <c r="E1368" i="1" s="1"/>
  <c r="I1368" i="1"/>
  <c r="J1368" i="1"/>
  <c r="A1369" i="1"/>
  <c r="B1369" i="1"/>
  <c r="C1369" i="1"/>
  <c r="D1369" i="1"/>
  <c r="E1369" i="1"/>
  <c r="I1369" i="1"/>
  <c r="J1369" i="1"/>
  <c r="A1370" i="1"/>
  <c r="B1370" i="1"/>
  <c r="C1370" i="1"/>
  <c r="D1370" i="1"/>
  <c r="E1370" i="1" s="1"/>
  <c r="I1370" i="1"/>
  <c r="J1370" i="1"/>
  <c r="A1371" i="1"/>
  <c r="B1371" i="1"/>
  <c r="C1371" i="1"/>
  <c r="D1371" i="1"/>
  <c r="E1371" i="1"/>
  <c r="I1371" i="1"/>
  <c r="J1371" i="1"/>
  <c r="A1372" i="1"/>
  <c r="B1372" i="1"/>
  <c r="C1372" i="1"/>
  <c r="D1372" i="1"/>
  <c r="E1372" i="1" s="1"/>
  <c r="I1372" i="1"/>
  <c r="J1372" i="1"/>
  <c r="A1373" i="1"/>
  <c r="B1373" i="1"/>
  <c r="C1373" i="1"/>
  <c r="D1373" i="1"/>
  <c r="E1373" i="1" s="1"/>
  <c r="I1373" i="1"/>
  <c r="J1373" i="1"/>
  <c r="A1374" i="1"/>
  <c r="B1374" i="1"/>
  <c r="C1374" i="1"/>
  <c r="D1374" i="1"/>
  <c r="E1374" i="1" s="1"/>
  <c r="I1374" i="1"/>
  <c r="J1374" i="1"/>
  <c r="A1375" i="1"/>
  <c r="B1375" i="1"/>
  <c r="C1375" i="1"/>
  <c r="D1375" i="1"/>
  <c r="E1375" i="1"/>
  <c r="I1375" i="1"/>
  <c r="J1375" i="1"/>
  <c r="A1376" i="1"/>
  <c r="B1376" i="1"/>
  <c r="C1376" i="1"/>
  <c r="D1376" i="1"/>
  <c r="E1376" i="1" s="1"/>
  <c r="I1376" i="1"/>
  <c r="J1376" i="1"/>
  <c r="A1377" i="1"/>
  <c r="B1377" i="1"/>
  <c r="C1377" i="1"/>
  <c r="D1377" i="1"/>
  <c r="E1377" i="1"/>
  <c r="I1377" i="1"/>
  <c r="J1377" i="1"/>
  <c r="A1378" i="1"/>
  <c r="B1378" i="1"/>
  <c r="C1378" i="1"/>
  <c r="D1378" i="1"/>
  <c r="E1378" i="1" s="1"/>
  <c r="I1378" i="1"/>
  <c r="J1378" i="1"/>
  <c r="A1379" i="1"/>
  <c r="B1379" i="1"/>
  <c r="C1379" i="1"/>
  <c r="D1379" i="1"/>
  <c r="E1379" i="1"/>
  <c r="I1379" i="1"/>
  <c r="J1379" i="1"/>
  <c r="A1380" i="1"/>
  <c r="B1380" i="1"/>
  <c r="C1380" i="1"/>
  <c r="D1380" i="1"/>
  <c r="E1380" i="1" s="1"/>
  <c r="I1380" i="1"/>
  <c r="J1380" i="1"/>
  <c r="A1381" i="1"/>
  <c r="B1381" i="1"/>
  <c r="C1381" i="1"/>
  <c r="D1381" i="1"/>
  <c r="E1381" i="1"/>
  <c r="I1381" i="1"/>
  <c r="J1381" i="1"/>
  <c r="A1382" i="1"/>
  <c r="B1382" i="1"/>
  <c r="C1382" i="1"/>
  <c r="D1382" i="1"/>
  <c r="E1382" i="1"/>
  <c r="I1382" i="1"/>
  <c r="J1382" i="1"/>
  <c r="A1383" i="1"/>
  <c r="B1383" i="1"/>
  <c r="C1383" i="1"/>
  <c r="D1383" i="1"/>
  <c r="E1383" i="1" s="1"/>
  <c r="I1383" i="1"/>
  <c r="J1383" i="1"/>
  <c r="A1384" i="1"/>
  <c r="B1384" i="1"/>
  <c r="C1384" i="1"/>
  <c r="D1384" i="1"/>
  <c r="E1384" i="1" s="1"/>
  <c r="I1384" i="1"/>
  <c r="J1384" i="1"/>
  <c r="A1385" i="1"/>
  <c r="B1385" i="1"/>
  <c r="C1385" i="1"/>
  <c r="D1385" i="1"/>
  <c r="E1385" i="1"/>
  <c r="I1385" i="1"/>
  <c r="J1385" i="1"/>
  <c r="A1386" i="1"/>
  <c r="B1386" i="1"/>
  <c r="C1386" i="1"/>
  <c r="D1386" i="1"/>
  <c r="E1386" i="1" s="1"/>
  <c r="I1386" i="1"/>
  <c r="J1386" i="1"/>
  <c r="A1387" i="1"/>
  <c r="B1387" i="1"/>
  <c r="C1387" i="1"/>
  <c r="D1387" i="1"/>
  <c r="E1387" i="1" s="1"/>
  <c r="I1387" i="1"/>
  <c r="J1387" i="1"/>
  <c r="A1388" i="1"/>
  <c r="B1388" i="1"/>
  <c r="C1388" i="1"/>
  <c r="D1388" i="1"/>
  <c r="E1388" i="1" s="1"/>
  <c r="I1388" i="1"/>
  <c r="J1388" i="1"/>
  <c r="A1389" i="1"/>
  <c r="B1389" i="1"/>
  <c r="C1389" i="1"/>
  <c r="D1389" i="1"/>
  <c r="E1389" i="1" s="1"/>
  <c r="I1389" i="1"/>
  <c r="J1389" i="1"/>
  <c r="A1390" i="1"/>
  <c r="B1390" i="1"/>
  <c r="C1390" i="1"/>
  <c r="D1390" i="1"/>
  <c r="E1390" i="1"/>
  <c r="I1390" i="1"/>
  <c r="J1390" i="1"/>
  <c r="A1391" i="1"/>
  <c r="B1391" i="1"/>
  <c r="C1391" i="1"/>
  <c r="D1391" i="1"/>
  <c r="E1391" i="1" s="1"/>
  <c r="I1391" i="1"/>
  <c r="J1391" i="1"/>
  <c r="A1392" i="1"/>
  <c r="B1392" i="1"/>
  <c r="C1392" i="1"/>
  <c r="D1392" i="1"/>
  <c r="E1392" i="1" s="1"/>
  <c r="I1392" i="1"/>
  <c r="J1392" i="1"/>
  <c r="A1393" i="1"/>
  <c r="B1393" i="1"/>
  <c r="C1393" i="1"/>
  <c r="D1393" i="1"/>
  <c r="E1393" i="1" s="1"/>
  <c r="I1393" i="1"/>
  <c r="J1393" i="1"/>
  <c r="A1394" i="1"/>
  <c r="B1394" i="1"/>
  <c r="C1394" i="1"/>
  <c r="D1394" i="1"/>
  <c r="E1394" i="1"/>
  <c r="I1394" i="1"/>
  <c r="J1394" i="1"/>
  <c r="A1395" i="1"/>
  <c r="B1395" i="1"/>
  <c r="C1395" i="1"/>
  <c r="E1395" i="1"/>
  <c r="I1395" i="1"/>
  <c r="J1395" i="1"/>
  <c r="A1396" i="1"/>
  <c r="B1396" i="1"/>
  <c r="C1396" i="1"/>
  <c r="E1396" i="1"/>
  <c r="I1396" i="1"/>
  <c r="J1396" i="1"/>
  <c r="A1397" i="1"/>
  <c r="B1397" i="1"/>
  <c r="C1397" i="1"/>
  <c r="E1397" i="1"/>
  <c r="I1397" i="1"/>
  <c r="J1397" i="1"/>
  <c r="A1398" i="1"/>
  <c r="B1398" i="1"/>
  <c r="C1398" i="1"/>
  <c r="E1398" i="1"/>
  <c r="I1398" i="1"/>
  <c r="J1398" i="1"/>
  <c r="A1399" i="1"/>
  <c r="B1399" i="1"/>
  <c r="C1399" i="1"/>
  <c r="E1399" i="1"/>
  <c r="I1399" i="1"/>
  <c r="J1399" i="1"/>
  <c r="A1400" i="1"/>
  <c r="B1400" i="1"/>
  <c r="C1400" i="1"/>
  <c r="E1400" i="1"/>
  <c r="I1400" i="1"/>
  <c r="J1400" i="1"/>
  <c r="A1401" i="1"/>
  <c r="B1401" i="1"/>
  <c r="C1401" i="1"/>
  <c r="E1401" i="1"/>
  <c r="I1401" i="1"/>
  <c r="J1401" i="1"/>
  <c r="A1402" i="1"/>
  <c r="B1402" i="1"/>
  <c r="C1402" i="1"/>
  <c r="E1402" i="1"/>
  <c r="I1402" i="1"/>
  <c r="J1402" i="1"/>
  <c r="A1403" i="1"/>
  <c r="B1403" i="1"/>
  <c r="C1403" i="1"/>
  <c r="E1403" i="1"/>
  <c r="I1403" i="1"/>
  <c r="J1403" i="1"/>
  <c r="A1404" i="1"/>
  <c r="B1404" i="1"/>
  <c r="C1404" i="1"/>
  <c r="E1404" i="1"/>
  <c r="I1404" i="1"/>
  <c r="J1404" i="1"/>
  <c r="A1405" i="1"/>
  <c r="B1405" i="1"/>
  <c r="C1405" i="1"/>
  <c r="E1405" i="1"/>
  <c r="I1405" i="1"/>
  <c r="J1405" i="1"/>
  <c r="A1406" i="1"/>
  <c r="B1406" i="1"/>
  <c r="C1406" i="1"/>
  <c r="E1406" i="1"/>
  <c r="I1406" i="1"/>
  <c r="J1406" i="1"/>
  <c r="A1407" i="1"/>
  <c r="B1407" i="1"/>
  <c r="C1407" i="1"/>
  <c r="E1407" i="1"/>
  <c r="I1407" i="1"/>
  <c r="J1407" i="1"/>
  <c r="A1408" i="1"/>
  <c r="B1408" i="1"/>
  <c r="C1408" i="1"/>
  <c r="E1408" i="1"/>
  <c r="I1408" i="1"/>
  <c r="J1408" i="1"/>
  <c r="A1409" i="1"/>
  <c r="B1409" i="1"/>
  <c r="C1409" i="1"/>
  <c r="E1409" i="1"/>
  <c r="I1409" i="1"/>
  <c r="J1409" i="1"/>
  <c r="A1410" i="1"/>
  <c r="B1410" i="1"/>
  <c r="C1410" i="1"/>
  <c r="E1410" i="1"/>
  <c r="I1410" i="1"/>
  <c r="J1410" i="1"/>
  <c r="A1411" i="1"/>
  <c r="B1411" i="1"/>
  <c r="C1411" i="1"/>
  <c r="E1411" i="1"/>
  <c r="I1411" i="1"/>
  <c r="J1411" i="1"/>
  <c r="A1412" i="1"/>
  <c r="B1412" i="1"/>
  <c r="C1412" i="1"/>
  <c r="E1412" i="1"/>
  <c r="I1412" i="1"/>
  <c r="J1412" i="1"/>
  <c r="A1413" i="1"/>
  <c r="B1413" i="1"/>
  <c r="C1413" i="1"/>
  <c r="E1413" i="1"/>
  <c r="I1413" i="1"/>
  <c r="J1413" i="1"/>
  <c r="A1414" i="1"/>
  <c r="B1414" i="1"/>
  <c r="C1414" i="1"/>
  <c r="E1414" i="1"/>
  <c r="I1414" i="1"/>
  <c r="J1414" i="1"/>
  <c r="A1415" i="1"/>
  <c r="B1415" i="1"/>
  <c r="C1415" i="1"/>
  <c r="D1415" i="1"/>
  <c r="E1415" i="1" s="1"/>
  <c r="I1415" i="1"/>
  <c r="J1415" i="1"/>
  <c r="A1416" i="1"/>
  <c r="B1416" i="1"/>
  <c r="C1416" i="1"/>
  <c r="D1416" i="1"/>
  <c r="E1416" i="1" s="1"/>
  <c r="I1416" i="1"/>
  <c r="J1416" i="1"/>
  <c r="A1417" i="1"/>
  <c r="B1417" i="1"/>
  <c r="C1417" i="1"/>
  <c r="D1417" i="1"/>
  <c r="E1417" i="1"/>
  <c r="I1417" i="1"/>
  <c r="J1417" i="1"/>
  <c r="A1418" i="1"/>
  <c r="B1418" i="1"/>
  <c r="C1418" i="1"/>
  <c r="D1418" i="1"/>
  <c r="E1418" i="1" s="1"/>
  <c r="I1418" i="1"/>
  <c r="J1418" i="1"/>
  <c r="A1419" i="1"/>
  <c r="B1419" i="1"/>
  <c r="C1419" i="1"/>
  <c r="D1419" i="1"/>
  <c r="E1419" i="1" s="1"/>
  <c r="I1419" i="1"/>
  <c r="J1419" i="1"/>
  <c r="A1420" i="1"/>
  <c r="B1420" i="1"/>
  <c r="C1420" i="1"/>
  <c r="D1420" i="1"/>
  <c r="E1420" i="1" s="1"/>
  <c r="I1420" i="1"/>
  <c r="J1420" i="1"/>
  <c r="A1421" i="1"/>
  <c r="B1421" i="1"/>
  <c r="C1421" i="1"/>
  <c r="D1421" i="1"/>
  <c r="E1421" i="1"/>
  <c r="I1421" i="1"/>
  <c r="J1421" i="1"/>
  <c r="A1422" i="1"/>
  <c r="B1422" i="1"/>
  <c r="C1422" i="1"/>
  <c r="D1422" i="1"/>
  <c r="E1422" i="1" s="1"/>
  <c r="I1422" i="1"/>
  <c r="A1423" i="1"/>
  <c r="B1423" i="1"/>
  <c r="C1423" i="1"/>
  <c r="D1423" i="1"/>
  <c r="E1423" i="1" s="1"/>
  <c r="I1423" i="1"/>
  <c r="A1424" i="1"/>
  <c r="B1424" i="1"/>
  <c r="C1424" i="1"/>
  <c r="D1424" i="1"/>
  <c r="E1424" i="1" s="1"/>
  <c r="I1424" i="1"/>
  <c r="J1424" i="1"/>
  <c r="A1425" i="1"/>
  <c r="B1425" i="1"/>
  <c r="C1425" i="1"/>
  <c r="D1425" i="1"/>
  <c r="I1425" i="1"/>
  <c r="J1425" i="1"/>
  <c r="A1426" i="1"/>
  <c r="B1426" i="1"/>
  <c r="C1426" i="1"/>
  <c r="D1426" i="1"/>
  <c r="E1426" i="1" s="1"/>
  <c r="I1426" i="1"/>
  <c r="J1426" i="1"/>
  <c r="A1427" i="1"/>
  <c r="B1427" i="1"/>
  <c r="C1427" i="1"/>
  <c r="D1427" i="1"/>
  <c r="I1427" i="1"/>
  <c r="J1427" i="1"/>
  <c r="A1428" i="1"/>
  <c r="B1428" i="1"/>
  <c r="C1428" i="1"/>
  <c r="D1428" i="1"/>
  <c r="E1428" i="1" s="1"/>
  <c r="I1428" i="1"/>
  <c r="J1428" i="1"/>
  <c r="A1429" i="1"/>
  <c r="B1429" i="1"/>
  <c r="C1429" i="1"/>
  <c r="D1429" i="1"/>
  <c r="I1429" i="1"/>
  <c r="J1429" i="1"/>
  <c r="A1430" i="1"/>
  <c r="B1430" i="1"/>
  <c r="C1430" i="1"/>
  <c r="D1430" i="1"/>
  <c r="E1430" i="1" s="1"/>
  <c r="I1430" i="1"/>
  <c r="J1430" i="1"/>
  <c r="A1431" i="1"/>
  <c r="B1431" i="1"/>
  <c r="C1431" i="1"/>
  <c r="D1431" i="1"/>
  <c r="I1431" i="1"/>
  <c r="J1431" i="1"/>
  <c r="A1432" i="1"/>
  <c r="B1432" i="1"/>
  <c r="C1432" i="1"/>
  <c r="D1432" i="1"/>
  <c r="E1432" i="1" s="1"/>
  <c r="I1432" i="1"/>
  <c r="J1432" i="1"/>
  <c r="A1433" i="1"/>
  <c r="B1433" i="1"/>
  <c r="C1433" i="1"/>
  <c r="D1433" i="1"/>
  <c r="I1433" i="1"/>
  <c r="J1433" i="1"/>
  <c r="A1434" i="1"/>
  <c r="B1434" i="1"/>
  <c r="C1434" i="1"/>
  <c r="D1434" i="1"/>
  <c r="E1434" i="1" s="1"/>
  <c r="I1434" i="1"/>
  <c r="J1434" i="1"/>
  <c r="A1435" i="1"/>
  <c r="B1435" i="1"/>
  <c r="C1435" i="1"/>
  <c r="D1435" i="1"/>
  <c r="I1435" i="1"/>
  <c r="J1435" i="1"/>
  <c r="A1436" i="1"/>
  <c r="B1436" i="1"/>
  <c r="C1436" i="1"/>
  <c r="D1436" i="1"/>
  <c r="E1436" i="1" s="1"/>
  <c r="I1436" i="1"/>
  <c r="J1436" i="1"/>
  <c r="A1437" i="1"/>
  <c r="B1437" i="1"/>
  <c r="C1437" i="1"/>
  <c r="D1437" i="1"/>
  <c r="I1437" i="1"/>
  <c r="J1437" i="1"/>
  <c r="A1438" i="1"/>
  <c r="B1438" i="1"/>
  <c r="C1438" i="1"/>
  <c r="D1438" i="1"/>
  <c r="E1438" i="1" s="1"/>
  <c r="I1438" i="1"/>
  <c r="J1438" i="1"/>
  <c r="A1439" i="1"/>
  <c r="B1439" i="1"/>
  <c r="C1439" i="1"/>
  <c r="D1439" i="1"/>
  <c r="I1439" i="1"/>
  <c r="J1439" i="1"/>
  <c r="A1440" i="1"/>
  <c r="B1440" i="1"/>
  <c r="C1440" i="1"/>
  <c r="D1440" i="1"/>
  <c r="E1440" i="1"/>
  <c r="I1440" i="1"/>
  <c r="J1440" i="1"/>
  <c r="A1441" i="1"/>
  <c r="B1441" i="1"/>
  <c r="C1441" i="1"/>
  <c r="D1441" i="1"/>
  <c r="I1441" i="1"/>
  <c r="J1441" i="1"/>
  <c r="A1442" i="1"/>
  <c r="B1442" i="1"/>
  <c r="C1442" i="1"/>
  <c r="D1442" i="1"/>
  <c r="E1442" i="1"/>
  <c r="I1442" i="1"/>
  <c r="J1442" i="1"/>
  <c r="A1443" i="1"/>
  <c r="B1443" i="1"/>
  <c r="C1443" i="1"/>
  <c r="D1443" i="1"/>
  <c r="I1443" i="1"/>
  <c r="J1443" i="1"/>
  <c r="A1444" i="1"/>
  <c r="B1444" i="1"/>
  <c r="C1444" i="1"/>
  <c r="D1444" i="1"/>
  <c r="E1444" i="1" s="1"/>
  <c r="I1444" i="1"/>
  <c r="J1444" i="1"/>
  <c r="A1445" i="1"/>
  <c r="B1445" i="1"/>
  <c r="C1445" i="1"/>
  <c r="D1445" i="1"/>
  <c r="I1445" i="1"/>
  <c r="J1445" i="1"/>
  <c r="A1446" i="1"/>
  <c r="B1446" i="1"/>
  <c r="C1446" i="1"/>
  <c r="D1446" i="1"/>
  <c r="I1446" i="1"/>
  <c r="J1446" i="1"/>
  <c r="A1447" i="1"/>
  <c r="B1447" i="1"/>
  <c r="C1447" i="1"/>
  <c r="D1447" i="1"/>
  <c r="E1447" i="1" s="1"/>
  <c r="I1447" i="1"/>
  <c r="J1447" i="1"/>
  <c r="A1448" i="1"/>
  <c r="B1448" i="1"/>
  <c r="C1448" i="1"/>
  <c r="D1448" i="1"/>
  <c r="E1448" i="1" s="1"/>
  <c r="I1448" i="1"/>
  <c r="J1448" i="1"/>
  <c r="A1449" i="1"/>
  <c r="B1449" i="1"/>
  <c r="C1449" i="1"/>
  <c r="D1449" i="1"/>
  <c r="E1449" i="1" s="1"/>
  <c r="I1449" i="1"/>
  <c r="J1449" i="1"/>
  <c r="A1450" i="1"/>
  <c r="B1450" i="1"/>
  <c r="C1450" i="1"/>
  <c r="D1450" i="1"/>
  <c r="E1450" i="1" s="1"/>
  <c r="I1450" i="1"/>
  <c r="J1450" i="1"/>
  <c r="A1451" i="1"/>
  <c r="B1451" i="1"/>
  <c r="C1451" i="1"/>
  <c r="D1451" i="1"/>
  <c r="E1451" i="1" s="1"/>
  <c r="I1451" i="1"/>
  <c r="J1451" i="1"/>
  <c r="A1452" i="1"/>
  <c r="B1452" i="1"/>
  <c r="C1452" i="1"/>
  <c r="D1452" i="1"/>
  <c r="E1452" i="1"/>
  <c r="I1452" i="1"/>
  <c r="J1452" i="1"/>
  <c r="A1453" i="1"/>
  <c r="B1453" i="1"/>
  <c r="C1453" i="1"/>
  <c r="D1453" i="1"/>
  <c r="I1453" i="1"/>
  <c r="J1453" i="1"/>
  <c r="A1454" i="1"/>
  <c r="B1454" i="1"/>
  <c r="C1454" i="1"/>
  <c r="D1454" i="1"/>
  <c r="E1454" i="1"/>
  <c r="I1454" i="1"/>
  <c r="J1454" i="1"/>
  <c r="A1455" i="1"/>
  <c r="B1455" i="1"/>
  <c r="C1455" i="1"/>
  <c r="D1455" i="1"/>
  <c r="I1455" i="1"/>
  <c r="J1455" i="1"/>
  <c r="A1456" i="1"/>
  <c r="B1456" i="1"/>
  <c r="C1456" i="1"/>
  <c r="D1456" i="1"/>
  <c r="E1456" i="1" s="1"/>
  <c r="I1456" i="1"/>
  <c r="J1456" i="1"/>
  <c r="A1457" i="1"/>
  <c r="B1457" i="1"/>
  <c r="C1457" i="1"/>
  <c r="D1457" i="1"/>
  <c r="I1457" i="1"/>
  <c r="J1457" i="1"/>
  <c r="A1458" i="1"/>
  <c r="B1458" i="1"/>
  <c r="C1458" i="1"/>
  <c r="D1458" i="1"/>
  <c r="E1458" i="1" s="1"/>
  <c r="I1458" i="1"/>
  <c r="J1458" i="1"/>
  <c r="A1459" i="1"/>
  <c r="B1459" i="1"/>
  <c r="C1459" i="1"/>
  <c r="D1459" i="1"/>
  <c r="I1459" i="1"/>
  <c r="J1459" i="1"/>
  <c r="A1460" i="1"/>
  <c r="B1460" i="1"/>
  <c r="C1460" i="1"/>
  <c r="D1460" i="1"/>
  <c r="E1460" i="1"/>
  <c r="I1460" i="1"/>
  <c r="J1460" i="1"/>
  <c r="A1461" i="1"/>
  <c r="B1461" i="1"/>
  <c r="C1461" i="1"/>
  <c r="D1461" i="1"/>
  <c r="I1461" i="1"/>
  <c r="J1461" i="1"/>
  <c r="A1462" i="1"/>
  <c r="B1462" i="1"/>
  <c r="C1462" i="1"/>
  <c r="D1462" i="1"/>
  <c r="E1462" i="1"/>
  <c r="I1462" i="1"/>
  <c r="J1462" i="1"/>
  <c r="A1463" i="1"/>
  <c r="B1463" i="1"/>
  <c r="C1463" i="1"/>
  <c r="D1463" i="1"/>
  <c r="I1463" i="1"/>
  <c r="J1463" i="1"/>
  <c r="A1464" i="1"/>
  <c r="B1464" i="1"/>
  <c r="C1464" i="1"/>
  <c r="D1464" i="1"/>
  <c r="E1464" i="1" s="1"/>
  <c r="I1464" i="1"/>
  <c r="J1464" i="1"/>
  <c r="A1465" i="1"/>
  <c r="B1465" i="1"/>
  <c r="C1465" i="1"/>
  <c r="D1465" i="1"/>
  <c r="I1465" i="1"/>
  <c r="J1465" i="1"/>
  <c r="A1466" i="1"/>
  <c r="B1466" i="1"/>
  <c r="C1466" i="1"/>
  <c r="D1466" i="1"/>
  <c r="E1466" i="1" s="1"/>
  <c r="I1466" i="1"/>
  <c r="J1466" i="1"/>
  <c r="A1467" i="1"/>
  <c r="B1467" i="1"/>
  <c r="C1467" i="1"/>
  <c r="D1467" i="1"/>
  <c r="I1467" i="1"/>
  <c r="J1467" i="1"/>
  <c r="A1468" i="1"/>
  <c r="B1468" i="1"/>
  <c r="C1468" i="1"/>
  <c r="D1468" i="1"/>
  <c r="E1468" i="1" s="1"/>
  <c r="I1468" i="1"/>
  <c r="J1468" i="1"/>
  <c r="A1469" i="1"/>
  <c r="B1469" i="1"/>
  <c r="C1469" i="1"/>
  <c r="D1469" i="1"/>
  <c r="I1469" i="1"/>
  <c r="J1469" i="1"/>
  <c r="A1470" i="1"/>
  <c r="B1470" i="1"/>
  <c r="C1470" i="1"/>
  <c r="D1470" i="1"/>
  <c r="E1470" i="1"/>
  <c r="I1470" i="1"/>
  <c r="J1470" i="1"/>
  <c r="A1471" i="1"/>
  <c r="B1471" i="1"/>
  <c r="C1471" i="1"/>
  <c r="D1471" i="1"/>
  <c r="I1471" i="1"/>
  <c r="J1471" i="1"/>
  <c r="A1472" i="1"/>
  <c r="B1472" i="1"/>
  <c r="C1472" i="1"/>
  <c r="D1472" i="1"/>
  <c r="E1472" i="1" s="1"/>
  <c r="I1472" i="1"/>
  <c r="J1472" i="1"/>
  <c r="A1473" i="1"/>
  <c r="B1473" i="1"/>
  <c r="C1473" i="1"/>
  <c r="D1473" i="1"/>
  <c r="I1473" i="1"/>
  <c r="J1473" i="1"/>
  <c r="A1474" i="1"/>
  <c r="B1474" i="1"/>
  <c r="C1474" i="1"/>
  <c r="D1474" i="1"/>
  <c r="E1474" i="1" s="1"/>
  <c r="I1474" i="1"/>
  <c r="J1474" i="1"/>
  <c r="A1475" i="1"/>
  <c r="B1475" i="1"/>
  <c r="C1475" i="1"/>
  <c r="D1475" i="1"/>
  <c r="I1475" i="1"/>
  <c r="J1475" i="1"/>
  <c r="A1476" i="1"/>
  <c r="B1476" i="1"/>
  <c r="C1476" i="1"/>
  <c r="D1476" i="1"/>
  <c r="E1476" i="1" s="1"/>
  <c r="I1476" i="1"/>
  <c r="J1476" i="1"/>
  <c r="A1477" i="1"/>
  <c r="B1477" i="1"/>
  <c r="C1477" i="1"/>
  <c r="D1477" i="1"/>
  <c r="I1477" i="1"/>
  <c r="J1477" i="1"/>
  <c r="A1478" i="1"/>
  <c r="B1478" i="1"/>
  <c r="C1478" i="1"/>
  <c r="D1478" i="1"/>
  <c r="E1478" i="1" s="1"/>
  <c r="I1478" i="1"/>
  <c r="J1478" i="1"/>
  <c r="A1479" i="1"/>
  <c r="B1479" i="1"/>
  <c r="C1479" i="1"/>
  <c r="D1479" i="1"/>
  <c r="I1479" i="1"/>
  <c r="J1479" i="1"/>
  <c r="A1480" i="1"/>
  <c r="B1480" i="1"/>
  <c r="C1480" i="1"/>
  <c r="D1480" i="1"/>
  <c r="E1480" i="1" s="1"/>
  <c r="I1480" i="1"/>
  <c r="J1480" i="1"/>
  <c r="A1481" i="1"/>
  <c r="B1481" i="1"/>
  <c r="C1481" i="1"/>
  <c r="D1481" i="1"/>
  <c r="I1481" i="1"/>
  <c r="J1481" i="1"/>
  <c r="A1482" i="1"/>
  <c r="B1482" i="1"/>
  <c r="C1482" i="1"/>
  <c r="D1482" i="1"/>
  <c r="E1482" i="1" s="1"/>
  <c r="I1482" i="1"/>
  <c r="J1482" i="1"/>
  <c r="A1483" i="1"/>
  <c r="B1483" i="1"/>
  <c r="C1483" i="1"/>
  <c r="D1483" i="1"/>
  <c r="E1483" i="1" s="1"/>
  <c r="I1483" i="1"/>
  <c r="J1483" i="1"/>
  <c r="A1484" i="1"/>
  <c r="B1484" i="1"/>
  <c r="C1484" i="1"/>
  <c r="D1484" i="1"/>
  <c r="E1484" i="1" s="1"/>
  <c r="I1484" i="1"/>
  <c r="J1484" i="1"/>
  <c r="A1485" i="1"/>
  <c r="B1485" i="1"/>
  <c r="C1485" i="1"/>
  <c r="D1485" i="1"/>
  <c r="E1485" i="1"/>
  <c r="I1485" i="1"/>
  <c r="J1485" i="1"/>
  <c r="A1486" i="1"/>
  <c r="B1486" i="1"/>
  <c r="C1486" i="1"/>
  <c r="D1486" i="1"/>
  <c r="E1486" i="1" s="1"/>
  <c r="I1486" i="1"/>
  <c r="J1486" i="1"/>
  <c r="A1487" i="1"/>
  <c r="B1487" i="1"/>
  <c r="C1487" i="1"/>
  <c r="D1487" i="1"/>
  <c r="E1487" i="1" s="1"/>
  <c r="I1487" i="1"/>
  <c r="J1487" i="1"/>
  <c r="A1488" i="1"/>
  <c r="B1488" i="1"/>
  <c r="C1488" i="1"/>
  <c r="D1488" i="1"/>
  <c r="E1488" i="1" s="1"/>
  <c r="I1488" i="1"/>
  <c r="J1488" i="1"/>
  <c r="A1489" i="1"/>
  <c r="B1489" i="1"/>
  <c r="C1489" i="1"/>
  <c r="D1489" i="1"/>
  <c r="E1489" i="1" s="1"/>
  <c r="I1489" i="1"/>
  <c r="J1489" i="1"/>
  <c r="A1490" i="1"/>
  <c r="B1490" i="1"/>
  <c r="C1490" i="1"/>
  <c r="D1490" i="1"/>
  <c r="E1490" i="1"/>
  <c r="I1490" i="1"/>
  <c r="J1490" i="1"/>
  <c r="A1491" i="1"/>
  <c r="B1491" i="1"/>
  <c r="C1491" i="1"/>
  <c r="D1491" i="1"/>
  <c r="E1491" i="1" s="1"/>
  <c r="I1491" i="1"/>
  <c r="J1491" i="1"/>
  <c r="A1492" i="1"/>
  <c r="B1492" i="1"/>
  <c r="C1492" i="1"/>
  <c r="D1492" i="1"/>
  <c r="E1492" i="1" s="1"/>
  <c r="I1492" i="1"/>
  <c r="J1492" i="1"/>
  <c r="A1493" i="1"/>
  <c r="B1493" i="1"/>
  <c r="C1493" i="1"/>
  <c r="D1493" i="1"/>
  <c r="E1493" i="1" s="1"/>
  <c r="I1493" i="1"/>
  <c r="J1493" i="1"/>
  <c r="A1494" i="1"/>
  <c r="B1494" i="1"/>
  <c r="C1494" i="1"/>
  <c r="D1494" i="1"/>
  <c r="E1494" i="1"/>
  <c r="I1494" i="1"/>
  <c r="J1494" i="1"/>
  <c r="A1495" i="1"/>
  <c r="B1495" i="1"/>
  <c r="C1495" i="1"/>
  <c r="D1495" i="1"/>
  <c r="E1495" i="1" s="1"/>
  <c r="I1495" i="1"/>
  <c r="J1495" i="1"/>
  <c r="A1496" i="1"/>
  <c r="B1496" i="1"/>
  <c r="C1496" i="1"/>
  <c r="D1496" i="1"/>
  <c r="E1496" i="1"/>
  <c r="I1496" i="1"/>
  <c r="J1496" i="1"/>
  <c r="A1497" i="1"/>
  <c r="B1497" i="1"/>
  <c r="C1497" i="1"/>
  <c r="D1497" i="1"/>
  <c r="E1497" i="1" s="1"/>
  <c r="I1497" i="1"/>
  <c r="J1497" i="1"/>
  <c r="A1498" i="1"/>
  <c r="B1498" i="1"/>
  <c r="C1498" i="1"/>
  <c r="D1498" i="1"/>
  <c r="E1498" i="1"/>
  <c r="I1498" i="1"/>
  <c r="J1498" i="1"/>
  <c r="A1499" i="1"/>
  <c r="B1499" i="1"/>
  <c r="C1499" i="1"/>
  <c r="D1499" i="1"/>
  <c r="E1499" i="1" s="1"/>
  <c r="I1499" i="1"/>
  <c r="J1499" i="1"/>
  <c r="A1500" i="1"/>
  <c r="B1500" i="1"/>
  <c r="C1500" i="1"/>
  <c r="D1500" i="1"/>
  <c r="E1500" i="1"/>
  <c r="I1500" i="1"/>
  <c r="J1500" i="1"/>
  <c r="A1501" i="1"/>
  <c r="B1501" i="1"/>
  <c r="C1501" i="1"/>
  <c r="D1501" i="1"/>
  <c r="E1501" i="1" s="1"/>
  <c r="I1501" i="1"/>
  <c r="J1501" i="1"/>
  <c r="A1502" i="1"/>
  <c r="B1502" i="1"/>
  <c r="C1502" i="1"/>
  <c r="D1502" i="1"/>
  <c r="I1502" i="1"/>
  <c r="J1502" i="1"/>
  <c r="A1503" i="1"/>
  <c r="B1503" i="1"/>
  <c r="C1503" i="1"/>
  <c r="D1503" i="1"/>
  <c r="E1503" i="1" s="1"/>
  <c r="I1503" i="1"/>
  <c r="J1503" i="1"/>
  <c r="A1504" i="1"/>
  <c r="B1504" i="1"/>
  <c r="C1504" i="1"/>
  <c r="D1504" i="1"/>
  <c r="I1504" i="1"/>
  <c r="J1504" i="1"/>
  <c r="A1505" i="1"/>
  <c r="B1505" i="1"/>
  <c r="C1505" i="1"/>
  <c r="D1505" i="1"/>
  <c r="E1505" i="1" s="1"/>
  <c r="I1505" i="1"/>
  <c r="J1505" i="1"/>
  <c r="A1506" i="1"/>
  <c r="B1506" i="1"/>
  <c r="C1506" i="1"/>
  <c r="D1506" i="1"/>
  <c r="I1506" i="1"/>
  <c r="J1506" i="1"/>
  <c r="A1507" i="1"/>
  <c r="B1507" i="1"/>
  <c r="C1507" i="1"/>
  <c r="D1507" i="1"/>
  <c r="E1507" i="1"/>
  <c r="I1507" i="1"/>
  <c r="J1507" i="1"/>
  <c r="A1508" i="1"/>
  <c r="B1508" i="1"/>
  <c r="C1508" i="1"/>
  <c r="D1508" i="1"/>
  <c r="I1508" i="1"/>
  <c r="J1508" i="1"/>
  <c r="A1509" i="1"/>
  <c r="B1509" i="1"/>
  <c r="C1509" i="1"/>
  <c r="D1509" i="1"/>
  <c r="E1509" i="1" s="1"/>
  <c r="I1509" i="1"/>
  <c r="J1509" i="1"/>
  <c r="A1510" i="1"/>
  <c r="B1510" i="1"/>
  <c r="C1510" i="1"/>
  <c r="D1510" i="1"/>
  <c r="I1510" i="1"/>
  <c r="J1510" i="1"/>
  <c r="A1511" i="1"/>
  <c r="B1511" i="1"/>
  <c r="C1511" i="1"/>
  <c r="D1511" i="1"/>
  <c r="E1511" i="1" s="1"/>
  <c r="I1511" i="1"/>
  <c r="J1511" i="1"/>
  <c r="A1512" i="1"/>
  <c r="B1512" i="1"/>
  <c r="C1512" i="1"/>
  <c r="D1512" i="1"/>
  <c r="I1512" i="1"/>
  <c r="J1512" i="1"/>
  <c r="A1513" i="1"/>
  <c r="B1513" i="1"/>
  <c r="C1513" i="1"/>
  <c r="D1513" i="1"/>
  <c r="E1513" i="1" s="1"/>
  <c r="I1513" i="1"/>
  <c r="J1513" i="1"/>
  <c r="A1514" i="1"/>
  <c r="B1514" i="1"/>
  <c r="C1514" i="1"/>
  <c r="D1514" i="1"/>
  <c r="I1514" i="1"/>
  <c r="J1514" i="1"/>
  <c r="A1515" i="1"/>
  <c r="B1515" i="1"/>
  <c r="C1515" i="1"/>
  <c r="D1515" i="1"/>
  <c r="E1515" i="1"/>
  <c r="I1515" i="1"/>
  <c r="J1515" i="1"/>
  <c r="A1516" i="1"/>
  <c r="B1516" i="1"/>
  <c r="C1516" i="1"/>
  <c r="D1516" i="1"/>
  <c r="I1516" i="1"/>
  <c r="J1516" i="1"/>
  <c r="A1517" i="1"/>
  <c r="B1517" i="1"/>
  <c r="C1517" i="1"/>
  <c r="D1517" i="1"/>
  <c r="E1517" i="1" s="1"/>
  <c r="I1517" i="1"/>
  <c r="J1517" i="1"/>
  <c r="A1518" i="1"/>
  <c r="B1518" i="1"/>
  <c r="C1518" i="1"/>
  <c r="D1518" i="1"/>
  <c r="I1518" i="1"/>
  <c r="J1518" i="1"/>
  <c r="A1519" i="1"/>
  <c r="B1519" i="1"/>
  <c r="C1519" i="1"/>
  <c r="D1519" i="1"/>
  <c r="E1519" i="1" s="1"/>
  <c r="I1519" i="1"/>
  <c r="J1519" i="1"/>
  <c r="A1520" i="1"/>
  <c r="B1520" i="1"/>
  <c r="C1520" i="1"/>
  <c r="D1520" i="1"/>
  <c r="I1520" i="1"/>
  <c r="J1520" i="1"/>
  <c r="A1521" i="1"/>
  <c r="B1521" i="1"/>
  <c r="C1521" i="1"/>
  <c r="D1521" i="1"/>
  <c r="E1521" i="1" s="1"/>
  <c r="I1521" i="1"/>
  <c r="J1521" i="1"/>
  <c r="A1522" i="1"/>
  <c r="B1522" i="1"/>
  <c r="C1522" i="1"/>
  <c r="D1522" i="1"/>
  <c r="I1522" i="1"/>
  <c r="J1522" i="1"/>
  <c r="A1523" i="1"/>
  <c r="B1523" i="1"/>
  <c r="C1523" i="1"/>
  <c r="D1523" i="1"/>
  <c r="E1523" i="1" s="1"/>
  <c r="I1523" i="1"/>
  <c r="J1523" i="1"/>
  <c r="A1524" i="1"/>
  <c r="B1524" i="1"/>
  <c r="C1524" i="1"/>
  <c r="D1524" i="1"/>
  <c r="I1524" i="1"/>
  <c r="J1524" i="1"/>
  <c r="A1525" i="1"/>
  <c r="B1525" i="1"/>
  <c r="C1525" i="1"/>
  <c r="D1525" i="1"/>
  <c r="E1525" i="1" s="1"/>
  <c r="I1525" i="1"/>
  <c r="J1525" i="1"/>
  <c r="A1526" i="1"/>
  <c r="B1526" i="1"/>
  <c r="C1526" i="1"/>
  <c r="D1526" i="1"/>
  <c r="I1526" i="1"/>
  <c r="J1526" i="1"/>
  <c r="A1527" i="1"/>
  <c r="B1527" i="1"/>
  <c r="C1527" i="1"/>
  <c r="D1527" i="1"/>
  <c r="E1527" i="1" s="1"/>
  <c r="I1527" i="1"/>
  <c r="J1527" i="1"/>
  <c r="A1528" i="1"/>
  <c r="B1528" i="1"/>
  <c r="C1528" i="1"/>
  <c r="D1528" i="1"/>
  <c r="I1528" i="1"/>
  <c r="J1528" i="1"/>
  <c r="A1529" i="1"/>
  <c r="B1529" i="1"/>
  <c r="C1529" i="1"/>
  <c r="D1529" i="1"/>
  <c r="E1529" i="1" s="1"/>
  <c r="I1529" i="1"/>
  <c r="J1529" i="1"/>
  <c r="A1530" i="1"/>
  <c r="B1530" i="1"/>
  <c r="C1530" i="1"/>
  <c r="D1530" i="1"/>
  <c r="I1530" i="1"/>
  <c r="J1530" i="1"/>
  <c r="A1531" i="1"/>
  <c r="B1531" i="1"/>
  <c r="C1531" i="1"/>
  <c r="D1531" i="1"/>
  <c r="E1531" i="1"/>
  <c r="I1531" i="1"/>
  <c r="J1531" i="1"/>
  <c r="A1532" i="1"/>
  <c r="B1532" i="1"/>
  <c r="C1532" i="1"/>
  <c r="D1532" i="1"/>
  <c r="I1532" i="1"/>
  <c r="J1532" i="1"/>
  <c r="A1533" i="1"/>
  <c r="B1533" i="1"/>
  <c r="C1533" i="1"/>
  <c r="D1533" i="1"/>
  <c r="E1533" i="1" s="1"/>
  <c r="I1533" i="1"/>
  <c r="J1533" i="1"/>
  <c r="A1534" i="1"/>
  <c r="B1534" i="1"/>
  <c r="C1534" i="1"/>
  <c r="D1534" i="1"/>
  <c r="I1534" i="1"/>
  <c r="J1534" i="1"/>
  <c r="A1535" i="1"/>
  <c r="B1535" i="1"/>
  <c r="C1535" i="1"/>
  <c r="D1535" i="1"/>
  <c r="E1535" i="1" s="1"/>
  <c r="I1535" i="1"/>
  <c r="J1535" i="1"/>
  <c r="A1536" i="1"/>
  <c r="B1536" i="1"/>
  <c r="C1536" i="1"/>
  <c r="D1536" i="1"/>
  <c r="I1536" i="1"/>
  <c r="J1536" i="1"/>
  <c r="A1537" i="1"/>
  <c r="B1537" i="1"/>
  <c r="C1537" i="1"/>
  <c r="D1537" i="1"/>
  <c r="E1537" i="1"/>
  <c r="I1537" i="1"/>
  <c r="J1537" i="1"/>
  <c r="A1538" i="1"/>
  <c r="B1538" i="1"/>
  <c r="C1538" i="1"/>
  <c r="D1538" i="1"/>
  <c r="I1538" i="1"/>
  <c r="J1538" i="1"/>
  <c r="A1539" i="1"/>
  <c r="B1539" i="1"/>
  <c r="C1539" i="1"/>
  <c r="D1539" i="1"/>
  <c r="E1539" i="1"/>
  <c r="I1539" i="1"/>
  <c r="J1539" i="1"/>
  <c r="A1540" i="1"/>
  <c r="B1540" i="1"/>
  <c r="C1540" i="1"/>
  <c r="D1540" i="1"/>
  <c r="I1540" i="1"/>
  <c r="J1540" i="1"/>
  <c r="A1541" i="1"/>
  <c r="B1541" i="1"/>
  <c r="C1541" i="1"/>
  <c r="D1541" i="1"/>
  <c r="E1541" i="1" s="1"/>
  <c r="I1541" i="1"/>
  <c r="J1541" i="1"/>
  <c r="A1542" i="1"/>
  <c r="B1542" i="1"/>
  <c r="C1542" i="1"/>
  <c r="D1542" i="1"/>
  <c r="I1542" i="1"/>
  <c r="J1542" i="1"/>
  <c r="A1543" i="1"/>
  <c r="B1543" i="1"/>
  <c r="C1543" i="1"/>
  <c r="D1543" i="1"/>
  <c r="E1543" i="1" s="1"/>
  <c r="I1543" i="1"/>
  <c r="J1543" i="1"/>
  <c r="A1544" i="1"/>
  <c r="B1544" i="1"/>
  <c r="C1544" i="1"/>
  <c r="D1544" i="1"/>
  <c r="I1544" i="1"/>
  <c r="J1544" i="1"/>
  <c r="A1545" i="1"/>
  <c r="B1545" i="1"/>
  <c r="C1545" i="1"/>
  <c r="D1545" i="1"/>
  <c r="E1545" i="1" s="1"/>
  <c r="I1545" i="1"/>
  <c r="J1545" i="1"/>
  <c r="A1546" i="1"/>
  <c r="B1546" i="1"/>
  <c r="C1546" i="1"/>
  <c r="D1546" i="1"/>
  <c r="I1546" i="1"/>
  <c r="J1546" i="1"/>
  <c r="A1547" i="1"/>
  <c r="B1547" i="1"/>
  <c r="C1547" i="1"/>
  <c r="D1547" i="1"/>
  <c r="E1547" i="1"/>
  <c r="I1547" i="1"/>
  <c r="J1547" i="1"/>
  <c r="A1548" i="1"/>
  <c r="B1548" i="1"/>
  <c r="C1548" i="1"/>
  <c r="D1548" i="1"/>
  <c r="I1548" i="1"/>
  <c r="J1548" i="1"/>
  <c r="A1549" i="1"/>
  <c r="B1549" i="1"/>
  <c r="C1549" i="1"/>
  <c r="D1549" i="1"/>
  <c r="E1549" i="1" s="1"/>
  <c r="I1549" i="1"/>
  <c r="J1549" i="1"/>
  <c r="A1550" i="1"/>
  <c r="B1550" i="1"/>
  <c r="C1550" i="1"/>
  <c r="D1550" i="1"/>
  <c r="I1550" i="1"/>
  <c r="J1550" i="1"/>
  <c r="A1551" i="1"/>
  <c r="B1551" i="1"/>
  <c r="C1551" i="1"/>
  <c r="D1551" i="1"/>
  <c r="E1551" i="1" s="1"/>
  <c r="I1551" i="1"/>
  <c r="J1551" i="1"/>
  <c r="A1552" i="1"/>
  <c r="B1552" i="1"/>
  <c r="C1552" i="1"/>
  <c r="D1552" i="1"/>
  <c r="I1552" i="1"/>
  <c r="J1552" i="1"/>
  <c r="A1553" i="1"/>
  <c r="B1553" i="1"/>
  <c r="C1553" i="1"/>
  <c r="D1553" i="1"/>
  <c r="E1553" i="1" s="1"/>
  <c r="I1553" i="1"/>
  <c r="J1553" i="1"/>
  <c r="A1554" i="1"/>
  <c r="B1554" i="1"/>
  <c r="C1554" i="1"/>
  <c r="D1554" i="1"/>
  <c r="I1554" i="1"/>
  <c r="J1554" i="1"/>
  <c r="A1555" i="1"/>
  <c r="B1555" i="1"/>
  <c r="C1555" i="1"/>
  <c r="D1555" i="1"/>
  <c r="E1555" i="1"/>
  <c r="I1555" i="1"/>
  <c r="J1555" i="1"/>
  <c r="A1556" i="1"/>
  <c r="B1556" i="1"/>
  <c r="C1556" i="1"/>
  <c r="D1556" i="1"/>
  <c r="I1556" i="1"/>
  <c r="J1556" i="1"/>
  <c r="A1557" i="1"/>
  <c r="B1557" i="1"/>
  <c r="C1557" i="1"/>
  <c r="D1557" i="1"/>
  <c r="E1557" i="1" s="1"/>
  <c r="I1557" i="1"/>
  <c r="J1557" i="1"/>
  <c r="A1558" i="1"/>
  <c r="B1558" i="1"/>
  <c r="C1558" i="1"/>
  <c r="D1558" i="1"/>
  <c r="I1558" i="1"/>
  <c r="J1558" i="1"/>
  <c r="A1559" i="1"/>
  <c r="B1559" i="1"/>
  <c r="C1559" i="1"/>
  <c r="D1559" i="1"/>
  <c r="E1559" i="1" s="1"/>
  <c r="I1559" i="1"/>
  <c r="J1559" i="1"/>
  <c r="A1560" i="1"/>
  <c r="B1560" i="1"/>
  <c r="C1560" i="1"/>
  <c r="D1560" i="1"/>
  <c r="I1560" i="1"/>
  <c r="J1560" i="1"/>
  <c r="A1561" i="1"/>
  <c r="B1561" i="1"/>
  <c r="C1561" i="1"/>
  <c r="D1561" i="1"/>
  <c r="E1561" i="1"/>
  <c r="I1561" i="1"/>
  <c r="J1561" i="1"/>
  <c r="A1562" i="1"/>
  <c r="B1562" i="1"/>
  <c r="C1562" i="1"/>
  <c r="D1562" i="1"/>
  <c r="I1562" i="1"/>
  <c r="J1562" i="1"/>
  <c r="A1563" i="1"/>
  <c r="B1563" i="1"/>
  <c r="C1563" i="1"/>
  <c r="D1563" i="1"/>
  <c r="E1563" i="1" s="1"/>
  <c r="I1563" i="1"/>
  <c r="J1563" i="1"/>
  <c r="A1564" i="1"/>
  <c r="B1564" i="1"/>
  <c r="C1564" i="1"/>
  <c r="D1564" i="1"/>
  <c r="I1564" i="1"/>
  <c r="J1564" i="1"/>
  <c r="A1565" i="1"/>
  <c r="B1565" i="1"/>
  <c r="C1565" i="1"/>
  <c r="D1565" i="1"/>
  <c r="E1565" i="1" s="1"/>
  <c r="I1565" i="1"/>
  <c r="J1565" i="1"/>
  <c r="A1566" i="1"/>
  <c r="B1566" i="1"/>
  <c r="C1566" i="1"/>
  <c r="D1566" i="1"/>
  <c r="I1566" i="1"/>
  <c r="J1566" i="1"/>
  <c r="A1567" i="1"/>
  <c r="B1567" i="1"/>
  <c r="C1567" i="1"/>
  <c r="D1567" i="1"/>
  <c r="E1567" i="1" s="1"/>
  <c r="I1567" i="1"/>
  <c r="J1567" i="1"/>
  <c r="A1568" i="1"/>
  <c r="B1568" i="1"/>
  <c r="C1568" i="1"/>
  <c r="D1568" i="1"/>
  <c r="I1568" i="1"/>
  <c r="J1568" i="1"/>
  <c r="A1569" i="1"/>
  <c r="B1569" i="1"/>
  <c r="C1569" i="1"/>
  <c r="D1569" i="1"/>
  <c r="E1569" i="1"/>
  <c r="I1569" i="1"/>
  <c r="J1569" i="1"/>
  <c r="A1570" i="1"/>
  <c r="B1570" i="1"/>
  <c r="C1570" i="1"/>
  <c r="D1570" i="1"/>
  <c r="I1570" i="1"/>
  <c r="J1570" i="1"/>
  <c r="A1571" i="1"/>
  <c r="B1571" i="1"/>
  <c r="C1571" i="1"/>
  <c r="D1571" i="1"/>
  <c r="E1571" i="1" s="1"/>
  <c r="I1571" i="1"/>
  <c r="J1571" i="1"/>
  <c r="A1572" i="1"/>
  <c r="B1572" i="1"/>
  <c r="C1572" i="1"/>
  <c r="D1572" i="1"/>
  <c r="I1572" i="1"/>
  <c r="J1572" i="1"/>
  <c r="A1573" i="1"/>
  <c r="B1573" i="1"/>
  <c r="C1573" i="1"/>
  <c r="D1573" i="1"/>
  <c r="E1573" i="1" s="1"/>
  <c r="I1573" i="1"/>
  <c r="J1573" i="1"/>
  <c r="A1574" i="1"/>
  <c r="B1574" i="1"/>
  <c r="C1574" i="1"/>
  <c r="D1574" i="1"/>
  <c r="I1574" i="1"/>
  <c r="J1574" i="1"/>
  <c r="A1575" i="1"/>
  <c r="B1575" i="1"/>
  <c r="C1575" i="1"/>
  <c r="D1575" i="1"/>
  <c r="E1575" i="1" s="1"/>
  <c r="I1575" i="1"/>
  <c r="J1575" i="1"/>
  <c r="A1576" i="1"/>
  <c r="B1576" i="1"/>
  <c r="C1576" i="1"/>
  <c r="D1576" i="1"/>
  <c r="I1576" i="1"/>
  <c r="J1576" i="1"/>
  <c r="A1577" i="1"/>
  <c r="B1577" i="1"/>
  <c r="C1577" i="1"/>
  <c r="D1577" i="1"/>
  <c r="E1577" i="1" s="1"/>
  <c r="I1577" i="1"/>
  <c r="J1577" i="1"/>
  <c r="A1578" i="1"/>
  <c r="B1578" i="1"/>
  <c r="C1578" i="1"/>
  <c r="D1578" i="1"/>
  <c r="I1578" i="1"/>
  <c r="J1578" i="1"/>
  <c r="A1579" i="1"/>
  <c r="B1579" i="1"/>
  <c r="C1579" i="1"/>
  <c r="D1579" i="1"/>
  <c r="E1579" i="1" s="1"/>
  <c r="I1579" i="1"/>
  <c r="J1579" i="1"/>
  <c r="A1580" i="1"/>
  <c r="B1580" i="1"/>
  <c r="C1580" i="1"/>
  <c r="D1580" i="1"/>
  <c r="I1580" i="1"/>
  <c r="J1580" i="1"/>
  <c r="A1581" i="1"/>
  <c r="B1581" i="1"/>
  <c r="C1581" i="1"/>
  <c r="D1581" i="1"/>
  <c r="E1581" i="1" s="1"/>
  <c r="I1581" i="1"/>
  <c r="J1581" i="1"/>
  <c r="A1582" i="1"/>
  <c r="B1582" i="1"/>
  <c r="C1582" i="1"/>
  <c r="D1582" i="1"/>
  <c r="I1582" i="1"/>
  <c r="J1582" i="1"/>
  <c r="A1583" i="1"/>
  <c r="B1583" i="1"/>
  <c r="C1583" i="1"/>
  <c r="D1583" i="1"/>
  <c r="E1583" i="1" s="1"/>
  <c r="I1583" i="1"/>
  <c r="J1583" i="1"/>
  <c r="A1584" i="1"/>
  <c r="B1584" i="1"/>
  <c r="C1584" i="1"/>
  <c r="D1584" i="1"/>
  <c r="I1584" i="1"/>
  <c r="J1584" i="1"/>
  <c r="A1585" i="1"/>
  <c r="B1585" i="1"/>
  <c r="C1585" i="1"/>
  <c r="D1585" i="1"/>
  <c r="E1585" i="1"/>
  <c r="I1585" i="1"/>
  <c r="J1585" i="1"/>
  <c r="A1586" i="1"/>
  <c r="B1586" i="1"/>
  <c r="C1586" i="1"/>
  <c r="D1586" i="1"/>
  <c r="I1586" i="1"/>
  <c r="J1586" i="1"/>
  <c r="A1587" i="1"/>
  <c r="B1587" i="1"/>
  <c r="C1587" i="1"/>
  <c r="D1587" i="1"/>
  <c r="E1587" i="1"/>
  <c r="I1587" i="1"/>
  <c r="J1587" i="1"/>
  <c r="A1588" i="1"/>
  <c r="B1588" i="1"/>
  <c r="C1588" i="1"/>
  <c r="D1588" i="1"/>
  <c r="I1588" i="1"/>
  <c r="J1588" i="1"/>
  <c r="A1589" i="1"/>
  <c r="B1589" i="1"/>
  <c r="C1589" i="1"/>
  <c r="D1589" i="1"/>
  <c r="E1589" i="1" s="1"/>
  <c r="I1589" i="1"/>
  <c r="J1589" i="1"/>
  <c r="A1590" i="1"/>
  <c r="B1590" i="1"/>
  <c r="C1590" i="1"/>
  <c r="D1590" i="1"/>
  <c r="I1590" i="1"/>
  <c r="J1590" i="1"/>
  <c r="A1591" i="1"/>
  <c r="B1591" i="1"/>
  <c r="C1591" i="1"/>
  <c r="D1591" i="1"/>
  <c r="E1591" i="1" s="1"/>
  <c r="I1591" i="1"/>
  <c r="J1591" i="1"/>
  <c r="A1592" i="1"/>
  <c r="B1592" i="1"/>
  <c r="C1592" i="1"/>
  <c r="D1592" i="1"/>
  <c r="I1592" i="1"/>
  <c r="J1592" i="1"/>
  <c r="A1593" i="1"/>
  <c r="B1593" i="1"/>
  <c r="C1593" i="1"/>
  <c r="D1593" i="1"/>
  <c r="E1593" i="1"/>
  <c r="I1593" i="1"/>
  <c r="J1593" i="1"/>
  <c r="A1594" i="1"/>
  <c r="B1594" i="1"/>
  <c r="C1594" i="1"/>
  <c r="D1594" i="1"/>
  <c r="I1594" i="1"/>
  <c r="J1594" i="1"/>
  <c r="A1595" i="1"/>
  <c r="B1595" i="1"/>
  <c r="C1595" i="1"/>
  <c r="D1595" i="1"/>
  <c r="E1595" i="1"/>
  <c r="I1595" i="1"/>
  <c r="J1595" i="1"/>
  <c r="A1596" i="1"/>
  <c r="B1596" i="1"/>
  <c r="C1596" i="1"/>
  <c r="D1596" i="1"/>
  <c r="I1596" i="1"/>
  <c r="J1596" i="1"/>
  <c r="A1597" i="1"/>
  <c r="B1597" i="1"/>
  <c r="C1597" i="1"/>
  <c r="D1597" i="1"/>
  <c r="E1597" i="1" s="1"/>
  <c r="I1597" i="1"/>
  <c r="J1597" i="1"/>
  <c r="A1598" i="1"/>
  <c r="B1598" i="1"/>
  <c r="C1598" i="1"/>
  <c r="D1598" i="1"/>
  <c r="I1598" i="1"/>
  <c r="J1598" i="1"/>
  <c r="A1599" i="1"/>
  <c r="B1599" i="1"/>
  <c r="C1599" i="1"/>
  <c r="D1599" i="1"/>
  <c r="E1599" i="1" s="1"/>
  <c r="I1599" i="1"/>
  <c r="J1599" i="1"/>
  <c r="A1600" i="1"/>
  <c r="B1600" i="1"/>
  <c r="C1600" i="1"/>
  <c r="D1600" i="1"/>
  <c r="I1600" i="1"/>
  <c r="J1600" i="1"/>
  <c r="A1601" i="1"/>
  <c r="B1601" i="1"/>
  <c r="C1601" i="1"/>
  <c r="D1601" i="1"/>
  <c r="E1601" i="1"/>
  <c r="I1601" i="1"/>
  <c r="J1601" i="1"/>
  <c r="A1602" i="1"/>
  <c r="B1602" i="1"/>
  <c r="C1602" i="1"/>
  <c r="D1602" i="1"/>
  <c r="I1602" i="1"/>
  <c r="J1602" i="1"/>
  <c r="A1603" i="1"/>
  <c r="B1603" i="1"/>
  <c r="C1603" i="1"/>
  <c r="D1603" i="1"/>
  <c r="E1603" i="1" s="1"/>
  <c r="I1603" i="1"/>
  <c r="J1603" i="1"/>
  <c r="A1604" i="1"/>
  <c r="B1604" i="1"/>
  <c r="C1604" i="1"/>
  <c r="D1604" i="1"/>
  <c r="I1604" i="1"/>
  <c r="J1604" i="1"/>
  <c r="A1605" i="1"/>
  <c r="B1605" i="1"/>
  <c r="C1605" i="1"/>
  <c r="D1605" i="1"/>
  <c r="E1605" i="1" s="1"/>
  <c r="I1605" i="1"/>
  <c r="J1605" i="1"/>
  <c r="A1606" i="1"/>
  <c r="B1606" i="1"/>
  <c r="C1606" i="1"/>
  <c r="D1606" i="1"/>
  <c r="I1606" i="1"/>
  <c r="J1606" i="1"/>
  <c r="A1607" i="1"/>
  <c r="B1607" i="1"/>
  <c r="C1607" i="1"/>
  <c r="D1607" i="1"/>
  <c r="E1607" i="1" s="1"/>
  <c r="I1607" i="1"/>
  <c r="J1607" i="1"/>
  <c r="A1608" i="1"/>
  <c r="B1608" i="1"/>
  <c r="C1608" i="1"/>
  <c r="D1608" i="1"/>
  <c r="I1608" i="1"/>
  <c r="J1608" i="1"/>
  <c r="A1609" i="1"/>
  <c r="B1609" i="1"/>
  <c r="C1609" i="1"/>
  <c r="D1609" i="1"/>
  <c r="E1609" i="1" s="1"/>
  <c r="I1609" i="1"/>
  <c r="J1609" i="1"/>
  <c r="A1610" i="1"/>
  <c r="B1610" i="1"/>
  <c r="C1610" i="1"/>
  <c r="D1610" i="1"/>
  <c r="I1610" i="1"/>
  <c r="J1610" i="1"/>
  <c r="A1611" i="1"/>
  <c r="B1611" i="1"/>
  <c r="C1611" i="1"/>
  <c r="D1611" i="1"/>
  <c r="E1611" i="1" s="1"/>
  <c r="I1611" i="1"/>
  <c r="J1611" i="1"/>
  <c r="A1612" i="1"/>
  <c r="B1612" i="1"/>
  <c r="C1612" i="1"/>
  <c r="D1612" i="1"/>
  <c r="I1612" i="1"/>
  <c r="J1612" i="1"/>
  <c r="A1613" i="1"/>
  <c r="B1613" i="1"/>
  <c r="C1613" i="1"/>
  <c r="D1613" i="1"/>
  <c r="E1613" i="1" s="1"/>
  <c r="I1613" i="1"/>
  <c r="J1613" i="1"/>
  <c r="A1614" i="1"/>
  <c r="B1614" i="1"/>
  <c r="C1614" i="1"/>
  <c r="D1614" i="1"/>
  <c r="I1614" i="1"/>
  <c r="J1614" i="1"/>
  <c r="A1615" i="1"/>
  <c r="B1615" i="1"/>
  <c r="C1615" i="1"/>
  <c r="D1615" i="1"/>
  <c r="E1615" i="1" s="1"/>
  <c r="I1615" i="1"/>
  <c r="J1615" i="1"/>
  <c r="A1616" i="1"/>
  <c r="B1616" i="1"/>
  <c r="C1616" i="1"/>
  <c r="D1616" i="1"/>
  <c r="I1616" i="1"/>
  <c r="J1616" i="1"/>
  <c r="A1617" i="1"/>
  <c r="B1617" i="1"/>
  <c r="C1617" i="1"/>
  <c r="D1617" i="1"/>
  <c r="E1617" i="1"/>
  <c r="I1617" i="1"/>
  <c r="J1617" i="1"/>
  <c r="A1618" i="1"/>
  <c r="B1618" i="1"/>
  <c r="C1618" i="1"/>
  <c r="D1618" i="1"/>
  <c r="I1618" i="1"/>
  <c r="J1618" i="1"/>
  <c r="A1619" i="1"/>
  <c r="B1619" i="1"/>
  <c r="C1619" i="1"/>
  <c r="D1619" i="1"/>
  <c r="E1619" i="1"/>
  <c r="I1619" i="1"/>
  <c r="J1619" i="1"/>
  <c r="A1620" i="1"/>
  <c r="B1620" i="1"/>
  <c r="C1620" i="1"/>
  <c r="D1620" i="1"/>
  <c r="I1620" i="1"/>
  <c r="J1620" i="1"/>
  <c r="A1621" i="1"/>
  <c r="B1621" i="1"/>
  <c r="C1621" i="1"/>
  <c r="D1621" i="1"/>
  <c r="E1621" i="1" s="1"/>
  <c r="I1621" i="1"/>
  <c r="J1621" i="1"/>
  <c r="A1622" i="1"/>
  <c r="B1622" i="1"/>
  <c r="C1622" i="1"/>
  <c r="D1622" i="1"/>
  <c r="I1622" i="1"/>
  <c r="J1622" i="1"/>
  <c r="A1623" i="1"/>
  <c r="B1623" i="1"/>
  <c r="C1623" i="1"/>
  <c r="D1623" i="1"/>
  <c r="E1623" i="1" s="1"/>
  <c r="I1623" i="1"/>
  <c r="J1623" i="1"/>
  <c r="A1624" i="1"/>
  <c r="B1624" i="1"/>
  <c r="C1624" i="1"/>
  <c r="D1624" i="1"/>
  <c r="I1624" i="1"/>
  <c r="J1624" i="1"/>
  <c r="A1625" i="1"/>
  <c r="B1625" i="1"/>
  <c r="C1625" i="1"/>
  <c r="D1625" i="1"/>
  <c r="E1625" i="1"/>
  <c r="I1625" i="1"/>
  <c r="J1625" i="1"/>
  <c r="A1626" i="1"/>
  <c r="B1626" i="1"/>
  <c r="C1626" i="1"/>
  <c r="D1626" i="1"/>
  <c r="I1626" i="1"/>
  <c r="J1626" i="1"/>
  <c r="A1627" i="1"/>
  <c r="B1627" i="1"/>
  <c r="C1627" i="1"/>
  <c r="D1627" i="1"/>
  <c r="E1627" i="1"/>
  <c r="I1627" i="1"/>
  <c r="J1627" i="1"/>
  <c r="A1628" i="1"/>
  <c r="B1628" i="1"/>
  <c r="C1628" i="1"/>
  <c r="D1628" i="1"/>
  <c r="I1628" i="1"/>
  <c r="J1628" i="1"/>
  <c r="A1629" i="1"/>
  <c r="B1629" i="1"/>
  <c r="C1629" i="1"/>
  <c r="D1629" i="1"/>
  <c r="E1629" i="1" s="1"/>
  <c r="I1629" i="1"/>
  <c r="J1629" i="1"/>
  <c r="A1630" i="1"/>
  <c r="B1630" i="1"/>
  <c r="C1630" i="1"/>
  <c r="D1630" i="1"/>
  <c r="I1630" i="1"/>
  <c r="J1630" i="1"/>
  <c r="A1631" i="1"/>
  <c r="B1631" i="1"/>
  <c r="C1631" i="1"/>
  <c r="D1631" i="1"/>
  <c r="E1631" i="1" s="1"/>
  <c r="I1631" i="1"/>
  <c r="J1631" i="1"/>
  <c r="A1632" i="1"/>
  <c r="B1632" i="1"/>
  <c r="C1632" i="1"/>
  <c r="D1632" i="1"/>
  <c r="I1632" i="1"/>
  <c r="J1632" i="1"/>
  <c r="A1633" i="1"/>
  <c r="B1633" i="1"/>
  <c r="C1633" i="1"/>
  <c r="D1633" i="1"/>
  <c r="E1633" i="1" s="1"/>
  <c r="I1633" i="1"/>
  <c r="J1633" i="1"/>
  <c r="A1634" i="1"/>
  <c r="B1634" i="1"/>
  <c r="C1634" i="1"/>
  <c r="D1634" i="1"/>
  <c r="I1634" i="1"/>
  <c r="J1634" i="1"/>
  <c r="A1635" i="1"/>
  <c r="B1635" i="1"/>
  <c r="C1635" i="1"/>
  <c r="D1635" i="1"/>
  <c r="E1635" i="1" s="1"/>
  <c r="I1635" i="1"/>
  <c r="J1635" i="1"/>
  <c r="A1636" i="1"/>
  <c r="B1636" i="1"/>
  <c r="C1636" i="1"/>
  <c r="D1636" i="1"/>
  <c r="I1636" i="1"/>
  <c r="J1636" i="1"/>
  <c r="A1637" i="1"/>
  <c r="B1637" i="1"/>
  <c r="C1637" i="1"/>
  <c r="D1637" i="1"/>
  <c r="E1637" i="1" s="1"/>
  <c r="I1637" i="1"/>
  <c r="J1637" i="1"/>
  <c r="A1638" i="1"/>
  <c r="B1638" i="1"/>
  <c r="C1638" i="1"/>
  <c r="D1638" i="1"/>
  <c r="I1638" i="1"/>
  <c r="J1638" i="1"/>
  <c r="A1639" i="1"/>
  <c r="B1639" i="1"/>
  <c r="C1639" i="1"/>
  <c r="D1639" i="1"/>
  <c r="E1639" i="1" s="1"/>
  <c r="I1639" i="1"/>
  <c r="J1639" i="1"/>
  <c r="A1640" i="1"/>
  <c r="B1640" i="1"/>
  <c r="C1640" i="1"/>
  <c r="D1640" i="1"/>
  <c r="I1640" i="1"/>
  <c r="J1640" i="1"/>
  <c r="A1641" i="1"/>
  <c r="B1641" i="1"/>
  <c r="C1641" i="1"/>
  <c r="D1641" i="1"/>
  <c r="E1641" i="1" s="1"/>
  <c r="I1641" i="1"/>
  <c r="J1641" i="1"/>
  <c r="A1642" i="1"/>
  <c r="B1642" i="1"/>
  <c r="C1642" i="1"/>
  <c r="D1642" i="1"/>
  <c r="I1642" i="1"/>
  <c r="J1642" i="1"/>
  <c r="A1643" i="1"/>
  <c r="B1643" i="1"/>
  <c r="C1643" i="1"/>
  <c r="D1643" i="1"/>
  <c r="E1643" i="1" s="1"/>
  <c r="I1643" i="1"/>
  <c r="J1643" i="1"/>
  <c r="A1644" i="1"/>
  <c r="B1644" i="1"/>
  <c r="C1644" i="1"/>
  <c r="D1644" i="1"/>
  <c r="I1644" i="1"/>
  <c r="J1644" i="1"/>
  <c r="A1645" i="1"/>
  <c r="B1645" i="1"/>
  <c r="C1645" i="1"/>
  <c r="D1645" i="1"/>
  <c r="E1645" i="1" s="1"/>
  <c r="I1645" i="1"/>
  <c r="J1645" i="1"/>
  <c r="A1646" i="1"/>
  <c r="B1646" i="1"/>
  <c r="C1646" i="1"/>
  <c r="D1646" i="1"/>
  <c r="I1646" i="1"/>
  <c r="J1646" i="1"/>
  <c r="A1647" i="1"/>
  <c r="B1647" i="1"/>
  <c r="C1647" i="1"/>
  <c r="D1647" i="1"/>
  <c r="E1647" i="1" s="1"/>
  <c r="I1647" i="1"/>
  <c r="J1647" i="1"/>
  <c r="A1648" i="1"/>
  <c r="B1648" i="1"/>
  <c r="C1648" i="1"/>
  <c r="D1648" i="1"/>
  <c r="I1648" i="1"/>
  <c r="J1648" i="1"/>
  <c r="A1649" i="1"/>
  <c r="B1649" i="1"/>
  <c r="C1649" i="1"/>
  <c r="D1649" i="1"/>
  <c r="E1649" i="1"/>
  <c r="I1649" i="1"/>
  <c r="J1649" i="1"/>
  <c r="A1650" i="1"/>
  <c r="B1650" i="1"/>
  <c r="C1650" i="1"/>
  <c r="D1650" i="1"/>
  <c r="I1650" i="1"/>
  <c r="J1650" i="1"/>
  <c r="A1651" i="1"/>
  <c r="B1651" i="1"/>
  <c r="C1651" i="1"/>
  <c r="E1651" i="1"/>
  <c r="I1651" i="1"/>
  <c r="J1651" i="1"/>
  <c r="A1652" i="1"/>
  <c r="B1652" i="1"/>
  <c r="C1652" i="1"/>
  <c r="E1652" i="1"/>
  <c r="I1652" i="1"/>
  <c r="J1652" i="1"/>
  <c r="A1653" i="1"/>
  <c r="B1653" i="1"/>
  <c r="C1653" i="1"/>
  <c r="E1653" i="1"/>
  <c r="I1653" i="1"/>
  <c r="J1653" i="1"/>
  <c r="A1654" i="1"/>
  <c r="B1654" i="1"/>
  <c r="C1654" i="1"/>
  <c r="E1654" i="1"/>
  <c r="I1654" i="1"/>
  <c r="J1654" i="1"/>
  <c r="A1655" i="1"/>
  <c r="B1655" i="1"/>
  <c r="C1655" i="1"/>
  <c r="E1655" i="1"/>
  <c r="I1655" i="1"/>
  <c r="J1655" i="1"/>
  <c r="A1656" i="1"/>
  <c r="B1656" i="1"/>
  <c r="C1656" i="1"/>
  <c r="E1656" i="1"/>
  <c r="I1656" i="1"/>
  <c r="J1656" i="1"/>
  <c r="A1657" i="1"/>
  <c r="B1657" i="1"/>
  <c r="C1657" i="1"/>
  <c r="E1657" i="1"/>
  <c r="I1657" i="1"/>
  <c r="J1657" i="1"/>
  <c r="A1658" i="1"/>
  <c r="B1658" i="1"/>
  <c r="C1658" i="1"/>
  <c r="E1658" i="1"/>
  <c r="I1658" i="1"/>
  <c r="J1658" i="1"/>
  <c r="A1659" i="1"/>
  <c r="B1659" i="1"/>
  <c r="C1659" i="1"/>
  <c r="E1659" i="1"/>
  <c r="I1659" i="1"/>
  <c r="J1659" i="1"/>
  <c r="A1660" i="1"/>
  <c r="B1660" i="1"/>
  <c r="C1660" i="1"/>
  <c r="E1660" i="1"/>
  <c r="I1660" i="1"/>
  <c r="J1660" i="1"/>
  <c r="A1661" i="1"/>
  <c r="B1661" i="1"/>
  <c r="C1661" i="1"/>
  <c r="E1661" i="1"/>
  <c r="I1661" i="1"/>
  <c r="J1661" i="1"/>
  <c r="A1662" i="1"/>
  <c r="B1662" i="1"/>
  <c r="C1662" i="1"/>
  <c r="D1662" i="1"/>
  <c r="E1662" i="1" s="1"/>
  <c r="I1662" i="1"/>
  <c r="J1662" i="1"/>
  <c r="A1663" i="1"/>
  <c r="B1663" i="1"/>
  <c r="C1663" i="1"/>
  <c r="D1663" i="1"/>
  <c r="E1663" i="1" s="1"/>
  <c r="I1663" i="1"/>
  <c r="J1663" i="1"/>
  <c r="A1664" i="1"/>
  <c r="B1664" i="1"/>
  <c r="C1664" i="1"/>
  <c r="D1664" i="1"/>
  <c r="E1664" i="1" s="1"/>
  <c r="I1664" i="1"/>
  <c r="J1664" i="1"/>
  <c r="A1665" i="1"/>
  <c r="B1665" i="1"/>
  <c r="C1665" i="1"/>
  <c r="D1665" i="1"/>
  <c r="E1665" i="1"/>
  <c r="I1665" i="1"/>
  <c r="J1665" i="1"/>
  <c r="A1666" i="1"/>
  <c r="B1666" i="1"/>
  <c r="C1666" i="1"/>
  <c r="D1666" i="1"/>
  <c r="E1666" i="1" s="1"/>
  <c r="I1666" i="1"/>
  <c r="J1666" i="1"/>
  <c r="A1667" i="1"/>
  <c r="B1667" i="1"/>
  <c r="C1667" i="1"/>
  <c r="D1667" i="1"/>
  <c r="E1667" i="1" s="1"/>
  <c r="I1667" i="1"/>
  <c r="J1667" i="1"/>
  <c r="A1668" i="1"/>
  <c r="B1668" i="1"/>
  <c r="C1668" i="1"/>
  <c r="E1668" i="1"/>
  <c r="I1668" i="1"/>
  <c r="J1668" i="1"/>
  <c r="A1669" i="1"/>
  <c r="B1669" i="1"/>
  <c r="C1669" i="1"/>
  <c r="E1669" i="1"/>
  <c r="I1669" i="1"/>
  <c r="J1669" i="1"/>
  <c r="A1670" i="1"/>
  <c r="B1670" i="1"/>
  <c r="C1670" i="1"/>
  <c r="E1670" i="1"/>
  <c r="I1670" i="1"/>
  <c r="J1670" i="1"/>
  <c r="A1671" i="1"/>
  <c r="B1671" i="1"/>
  <c r="C1671" i="1"/>
  <c r="E1671" i="1"/>
  <c r="I1671" i="1"/>
  <c r="J1671" i="1"/>
  <c r="A1672" i="1"/>
  <c r="B1672" i="1"/>
  <c r="C1672" i="1"/>
  <c r="E1672" i="1"/>
  <c r="I1672" i="1"/>
  <c r="J1672" i="1"/>
  <c r="A1673" i="1"/>
  <c r="B1673" i="1"/>
  <c r="C1673" i="1"/>
  <c r="E1673" i="1"/>
  <c r="I1673" i="1"/>
  <c r="J1673" i="1"/>
  <c r="A1674" i="1"/>
  <c r="B1674" i="1"/>
  <c r="C1674" i="1"/>
  <c r="E1674" i="1"/>
  <c r="I1674" i="1"/>
  <c r="J1674" i="1"/>
  <c r="A1675" i="1"/>
  <c r="B1675" i="1"/>
  <c r="C1675" i="1"/>
  <c r="E1675" i="1"/>
  <c r="I1675" i="1"/>
  <c r="J1675" i="1"/>
  <c r="A1676" i="1"/>
  <c r="B1676" i="1"/>
  <c r="C1676" i="1"/>
  <c r="E1676" i="1"/>
  <c r="I1676" i="1"/>
  <c r="J1676" i="1"/>
  <c r="A1677" i="1"/>
  <c r="B1677" i="1"/>
  <c r="C1677" i="1"/>
  <c r="D1677" i="1"/>
  <c r="I1677" i="1"/>
  <c r="J1677" i="1"/>
  <c r="A1678" i="1"/>
  <c r="B1678" i="1"/>
  <c r="C1678" i="1"/>
  <c r="D1678" i="1"/>
  <c r="E1678" i="1" s="1"/>
  <c r="I1678" i="1"/>
  <c r="J1678" i="1"/>
  <c r="A1679" i="1"/>
  <c r="B1679" i="1"/>
  <c r="C1679" i="1"/>
  <c r="D1679" i="1"/>
  <c r="I1679" i="1"/>
  <c r="J1679" i="1"/>
  <c r="A1680" i="1"/>
  <c r="B1680" i="1"/>
  <c r="C1680" i="1"/>
  <c r="D1680" i="1"/>
  <c r="E1680" i="1" s="1"/>
  <c r="I1680" i="1"/>
  <c r="J1680" i="1"/>
  <c r="A1681" i="1"/>
  <c r="B1681" i="1"/>
  <c r="C1681" i="1"/>
  <c r="D1681" i="1"/>
  <c r="I1681" i="1"/>
  <c r="J1681" i="1"/>
  <c r="A1682" i="1"/>
  <c r="B1682" i="1"/>
  <c r="C1682" i="1"/>
  <c r="D1682" i="1"/>
  <c r="E1682" i="1" s="1"/>
  <c r="I1682" i="1"/>
  <c r="J1682" i="1"/>
  <c r="A1683" i="1"/>
  <c r="B1683" i="1"/>
  <c r="C1683" i="1"/>
  <c r="D1683" i="1"/>
  <c r="I1683" i="1"/>
  <c r="J1683" i="1"/>
  <c r="A1684" i="1"/>
  <c r="B1684" i="1"/>
  <c r="C1684" i="1"/>
  <c r="D1684" i="1"/>
  <c r="E1684" i="1" s="1"/>
  <c r="I1684" i="1"/>
  <c r="J1684" i="1"/>
  <c r="A1685" i="1"/>
  <c r="B1685" i="1"/>
  <c r="C1685" i="1"/>
  <c r="D1685" i="1"/>
  <c r="I1685" i="1"/>
  <c r="J1685" i="1"/>
  <c r="A1686" i="1"/>
  <c r="B1686" i="1"/>
  <c r="C1686" i="1"/>
  <c r="D1686" i="1"/>
  <c r="E1686" i="1" s="1"/>
  <c r="I1686" i="1"/>
  <c r="J1686" i="1"/>
  <c r="A1687" i="1"/>
  <c r="B1687" i="1"/>
  <c r="C1687" i="1"/>
  <c r="D1687" i="1"/>
  <c r="I1687" i="1"/>
  <c r="J1687" i="1"/>
  <c r="A1688" i="1"/>
  <c r="B1688" i="1"/>
  <c r="C1688" i="1"/>
  <c r="D1688" i="1"/>
  <c r="E1688" i="1" s="1"/>
  <c r="I1688" i="1"/>
  <c r="J1688" i="1"/>
  <c r="A1689" i="1"/>
  <c r="B1689" i="1"/>
  <c r="C1689" i="1"/>
  <c r="D1689" i="1"/>
  <c r="I1689" i="1"/>
  <c r="J1689" i="1"/>
  <c r="A1690" i="1"/>
  <c r="B1690" i="1"/>
  <c r="C1690" i="1"/>
  <c r="D1690" i="1"/>
  <c r="E1690" i="1" s="1"/>
  <c r="I1690" i="1"/>
  <c r="J1690" i="1"/>
  <c r="A1691" i="1"/>
  <c r="B1691" i="1"/>
  <c r="C1691" i="1"/>
  <c r="D1691" i="1"/>
  <c r="I1691" i="1"/>
  <c r="J1691" i="1"/>
  <c r="A1692" i="1"/>
  <c r="B1692" i="1"/>
  <c r="C1692" i="1"/>
  <c r="D1692" i="1"/>
  <c r="E1692" i="1" s="1"/>
  <c r="I1692" i="1"/>
  <c r="J1692" i="1"/>
  <c r="A1693" i="1"/>
  <c r="B1693" i="1"/>
  <c r="C1693" i="1"/>
  <c r="D1693" i="1"/>
  <c r="I1693" i="1"/>
  <c r="J1693" i="1"/>
  <c r="A1694" i="1"/>
  <c r="B1694" i="1"/>
  <c r="C1694" i="1"/>
  <c r="D1694" i="1"/>
  <c r="E1694" i="1"/>
  <c r="I1694" i="1"/>
  <c r="J1694" i="1"/>
  <c r="A1695" i="1"/>
  <c r="B1695" i="1"/>
  <c r="C1695" i="1"/>
  <c r="D1695" i="1"/>
  <c r="I1695" i="1"/>
  <c r="J1695" i="1"/>
  <c r="A1696" i="1"/>
  <c r="B1696" i="1"/>
  <c r="C1696" i="1"/>
  <c r="D1696" i="1"/>
  <c r="E1696" i="1" s="1"/>
  <c r="I1696" i="1"/>
  <c r="J1696" i="1"/>
  <c r="A1697" i="1"/>
  <c r="B1697" i="1"/>
  <c r="C1697" i="1"/>
  <c r="D1697" i="1"/>
  <c r="I1697" i="1"/>
  <c r="J1697" i="1"/>
  <c r="A1698" i="1"/>
  <c r="B1698" i="1"/>
  <c r="C1698" i="1"/>
  <c r="D1698" i="1"/>
  <c r="E1698" i="1" s="1"/>
  <c r="I1698" i="1"/>
  <c r="J1698" i="1"/>
  <c r="A1699" i="1"/>
  <c r="B1699" i="1"/>
  <c r="C1699" i="1"/>
  <c r="D1699" i="1"/>
  <c r="I1699" i="1"/>
  <c r="J1699" i="1"/>
  <c r="A1700" i="1"/>
  <c r="B1700" i="1"/>
  <c r="C1700" i="1"/>
  <c r="D1700" i="1"/>
  <c r="E1700" i="1" s="1"/>
  <c r="I1700" i="1"/>
  <c r="J1700" i="1"/>
  <c r="A1701" i="1"/>
  <c r="B1701" i="1"/>
  <c r="C1701" i="1"/>
  <c r="D1701" i="1"/>
  <c r="I1701" i="1"/>
  <c r="J1701" i="1"/>
  <c r="A1702" i="1"/>
  <c r="B1702" i="1"/>
  <c r="C1702" i="1"/>
  <c r="D1702" i="1"/>
  <c r="E1702" i="1" s="1"/>
  <c r="I1702" i="1"/>
  <c r="J1702" i="1"/>
  <c r="A1703" i="1"/>
  <c r="B1703" i="1"/>
  <c r="C1703" i="1"/>
  <c r="D1703" i="1"/>
  <c r="I1703" i="1"/>
  <c r="J1703" i="1"/>
  <c r="A1704" i="1"/>
  <c r="B1704" i="1"/>
  <c r="C1704" i="1"/>
  <c r="D1704" i="1"/>
  <c r="E1704" i="1" s="1"/>
  <c r="I1704" i="1"/>
  <c r="J1704" i="1"/>
  <c r="A1705" i="1"/>
  <c r="B1705" i="1"/>
  <c r="C1705" i="1"/>
  <c r="D1705" i="1"/>
  <c r="I1705" i="1"/>
  <c r="J1705" i="1"/>
  <c r="A1706" i="1"/>
  <c r="B1706" i="1"/>
  <c r="C1706" i="1"/>
  <c r="D1706" i="1"/>
  <c r="E1706" i="1" s="1"/>
  <c r="I1706" i="1"/>
  <c r="J1706" i="1"/>
  <c r="A1707" i="1"/>
  <c r="B1707" i="1"/>
  <c r="C1707" i="1"/>
  <c r="D1707" i="1"/>
  <c r="I1707" i="1"/>
  <c r="J1707" i="1"/>
  <c r="A1708" i="1"/>
  <c r="B1708" i="1"/>
  <c r="C1708" i="1"/>
  <c r="D1708" i="1"/>
  <c r="E1708" i="1" s="1"/>
  <c r="I1708" i="1"/>
  <c r="J1708" i="1"/>
  <c r="A1709" i="1"/>
  <c r="B1709" i="1"/>
  <c r="C1709" i="1"/>
  <c r="D1709" i="1"/>
  <c r="E1709" i="1" s="1"/>
  <c r="I1709" i="1"/>
  <c r="J1709" i="1"/>
  <c r="A1710" i="1"/>
  <c r="B1710" i="1"/>
  <c r="C1710" i="1"/>
  <c r="D1710" i="1"/>
  <c r="E1710" i="1" s="1"/>
  <c r="I1710" i="1"/>
  <c r="J1710" i="1"/>
  <c r="A1711" i="1"/>
  <c r="B1711" i="1"/>
  <c r="C1711" i="1"/>
  <c r="D1711" i="1"/>
  <c r="I1711" i="1"/>
  <c r="J1711" i="1"/>
  <c r="A1712" i="1"/>
  <c r="B1712" i="1"/>
  <c r="C1712" i="1"/>
  <c r="D1712" i="1"/>
  <c r="I1712" i="1"/>
  <c r="J1712" i="1"/>
  <c r="A1713" i="1"/>
  <c r="B1713" i="1"/>
  <c r="C1713" i="1"/>
  <c r="D1713" i="1"/>
  <c r="E1713" i="1"/>
  <c r="I1713" i="1"/>
  <c r="J1713" i="1"/>
  <c r="A1714" i="1"/>
  <c r="B1714" i="1"/>
  <c r="C1714" i="1"/>
  <c r="D1714" i="1"/>
  <c r="I1714" i="1"/>
  <c r="J1714" i="1"/>
  <c r="A1715" i="1"/>
  <c r="B1715" i="1"/>
  <c r="C1715" i="1"/>
  <c r="D1715" i="1"/>
  <c r="E1715" i="1" s="1"/>
  <c r="I1715" i="1"/>
  <c r="J1715" i="1"/>
  <c r="A1716" i="1"/>
  <c r="B1716" i="1"/>
  <c r="C1716" i="1"/>
  <c r="D1716" i="1"/>
  <c r="I1716" i="1"/>
  <c r="J1716" i="1"/>
  <c r="A1717" i="1"/>
  <c r="B1717" i="1"/>
  <c r="C1717" i="1"/>
  <c r="D1717" i="1"/>
  <c r="E1717" i="1" s="1"/>
  <c r="I1717" i="1"/>
  <c r="J1717" i="1"/>
  <c r="A1718" i="1"/>
  <c r="B1718" i="1"/>
  <c r="C1718" i="1"/>
  <c r="D1718" i="1"/>
  <c r="I1718" i="1"/>
  <c r="J1718" i="1"/>
  <c r="A1719" i="1"/>
  <c r="B1719" i="1"/>
  <c r="C1719" i="1"/>
  <c r="D1719" i="1"/>
  <c r="E1719" i="1" s="1"/>
  <c r="I1719" i="1"/>
  <c r="J1719" i="1"/>
  <c r="A1720" i="1"/>
  <c r="B1720" i="1"/>
  <c r="C1720" i="1"/>
  <c r="D1720" i="1"/>
  <c r="I1720" i="1"/>
  <c r="J1720" i="1"/>
  <c r="A1721" i="1"/>
  <c r="B1721" i="1"/>
  <c r="C1721" i="1"/>
  <c r="D1721" i="1"/>
  <c r="E1721" i="1"/>
  <c r="I1721" i="1"/>
  <c r="J1721" i="1"/>
  <c r="A1722" i="1"/>
  <c r="B1722" i="1"/>
  <c r="C1722" i="1"/>
  <c r="D1722" i="1"/>
  <c r="I1722" i="1"/>
  <c r="J1722" i="1"/>
  <c r="A1723" i="1"/>
  <c r="B1723" i="1"/>
  <c r="C1723" i="1"/>
  <c r="D1723" i="1"/>
  <c r="E1723" i="1" s="1"/>
  <c r="I1723" i="1"/>
  <c r="J1723" i="1"/>
  <c r="A1724" i="1"/>
  <c r="B1724" i="1"/>
  <c r="C1724" i="1"/>
  <c r="D1724" i="1"/>
  <c r="I1724" i="1"/>
  <c r="J1724" i="1"/>
  <c r="A1725" i="1"/>
  <c r="B1725" i="1"/>
  <c r="C1725" i="1"/>
  <c r="D1725" i="1"/>
  <c r="E1725" i="1" s="1"/>
  <c r="I1725" i="1"/>
  <c r="J1725" i="1"/>
  <c r="A1726" i="1"/>
  <c r="B1726" i="1"/>
  <c r="C1726" i="1"/>
  <c r="D1726" i="1"/>
  <c r="I1726" i="1"/>
  <c r="J1726" i="1"/>
  <c r="A1727" i="1"/>
  <c r="B1727" i="1"/>
  <c r="C1727" i="1"/>
  <c r="D1727" i="1"/>
  <c r="E1727" i="1" s="1"/>
  <c r="I1727" i="1"/>
  <c r="J1727" i="1"/>
  <c r="A1728" i="1"/>
  <c r="B1728" i="1"/>
  <c r="C1728" i="1"/>
  <c r="D1728" i="1"/>
  <c r="I1728" i="1"/>
  <c r="J1728" i="1"/>
  <c r="A1729" i="1"/>
  <c r="B1729" i="1"/>
  <c r="C1729" i="1"/>
  <c r="D1729" i="1"/>
  <c r="E1729" i="1"/>
  <c r="I1729" i="1"/>
  <c r="J1729" i="1"/>
  <c r="A1730" i="1"/>
  <c r="B1730" i="1"/>
  <c r="C1730" i="1"/>
  <c r="D1730" i="1"/>
  <c r="I1730" i="1"/>
  <c r="J1730" i="1"/>
  <c r="A1731" i="1"/>
  <c r="B1731" i="1"/>
  <c r="C1731" i="1"/>
  <c r="D1731" i="1"/>
  <c r="E1731" i="1" s="1"/>
  <c r="I1731" i="1"/>
  <c r="J1731" i="1"/>
  <c r="A1732" i="1"/>
  <c r="B1732" i="1"/>
  <c r="C1732" i="1"/>
  <c r="D1732" i="1"/>
  <c r="I1732" i="1"/>
  <c r="J1732" i="1"/>
  <c r="A1733" i="1"/>
  <c r="B1733" i="1"/>
  <c r="C1733" i="1"/>
  <c r="D1733" i="1"/>
  <c r="E1733" i="1" s="1"/>
  <c r="I1733" i="1"/>
  <c r="J1733" i="1"/>
  <c r="A1734" i="1"/>
  <c r="B1734" i="1"/>
  <c r="C1734" i="1"/>
  <c r="D1734" i="1"/>
  <c r="I1734" i="1"/>
  <c r="J1734" i="1"/>
  <c r="A1735" i="1"/>
  <c r="B1735" i="1"/>
  <c r="C1735" i="1"/>
  <c r="D1735" i="1"/>
  <c r="E1735" i="1" s="1"/>
  <c r="I1735" i="1"/>
  <c r="J1735" i="1"/>
  <c r="A1736" i="1"/>
  <c r="B1736" i="1"/>
  <c r="C1736" i="1"/>
  <c r="D1736" i="1"/>
  <c r="I1736" i="1"/>
  <c r="J1736" i="1"/>
  <c r="A1737" i="1"/>
  <c r="B1737" i="1"/>
  <c r="C1737" i="1"/>
  <c r="D1737" i="1"/>
  <c r="E1737" i="1"/>
  <c r="I1737" i="1"/>
  <c r="J1737" i="1"/>
  <c r="A1738" i="1"/>
  <c r="B1738" i="1"/>
  <c r="C1738" i="1"/>
  <c r="D1738" i="1"/>
  <c r="I1738" i="1"/>
  <c r="J1738" i="1"/>
  <c r="A1739" i="1"/>
  <c r="B1739" i="1"/>
  <c r="C1739" i="1"/>
  <c r="D1739" i="1"/>
  <c r="E1739" i="1" s="1"/>
  <c r="I1739" i="1"/>
  <c r="J1739" i="1"/>
  <c r="A1740" i="1"/>
  <c r="B1740" i="1"/>
  <c r="C1740" i="1"/>
  <c r="D1740" i="1"/>
  <c r="I1740" i="1"/>
  <c r="J1740" i="1"/>
  <c r="A1741" i="1"/>
  <c r="B1741" i="1"/>
  <c r="C1741" i="1"/>
  <c r="D1741" i="1"/>
  <c r="E1741" i="1" s="1"/>
  <c r="I1741" i="1"/>
  <c r="J1741" i="1"/>
  <c r="A1742" i="1"/>
  <c r="B1742" i="1"/>
  <c r="C1742" i="1"/>
  <c r="D1742" i="1"/>
  <c r="I1742" i="1"/>
  <c r="J1742" i="1"/>
  <c r="A1743" i="1"/>
  <c r="B1743" i="1"/>
  <c r="C1743" i="1"/>
  <c r="D1743" i="1"/>
  <c r="E1743" i="1" s="1"/>
  <c r="I1743" i="1"/>
  <c r="J1743" i="1"/>
  <c r="A1744" i="1"/>
  <c r="B1744" i="1"/>
  <c r="C1744" i="1"/>
  <c r="D1744" i="1"/>
  <c r="I1744" i="1"/>
  <c r="J1744" i="1"/>
  <c r="A1745" i="1"/>
  <c r="B1745" i="1"/>
  <c r="C1745" i="1"/>
  <c r="E1745" i="1"/>
  <c r="I1745" i="1"/>
  <c r="J1745" i="1"/>
  <c r="A1746" i="1"/>
  <c r="B1746" i="1"/>
  <c r="C1746" i="1"/>
  <c r="E1746" i="1"/>
  <c r="I1746" i="1"/>
  <c r="J1746" i="1"/>
  <c r="A1747" i="1"/>
  <c r="B1747" i="1"/>
  <c r="C1747" i="1"/>
  <c r="D1747" i="1"/>
  <c r="E1747" i="1"/>
  <c r="I1747" i="1"/>
  <c r="J1747" i="1"/>
  <c r="A1748" i="1"/>
  <c r="B1748" i="1"/>
  <c r="C1748" i="1"/>
  <c r="E1748" i="1"/>
  <c r="I1748" i="1"/>
  <c r="J1748" i="1"/>
  <c r="A1749" i="1"/>
  <c r="B1749" i="1"/>
  <c r="C1749" i="1"/>
  <c r="E1749" i="1"/>
  <c r="I1749" i="1"/>
  <c r="J1749" i="1"/>
  <c r="A1750" i="1"/>
  <c r="B1750" i="1"/>
  <c r="C1750" i="1"/>
  <c r="D1750" i="1"/>
  <c r="E1750" i="1" s="1"/>
  <c r="I1750" i="1"/>
  <c r="J1750" i="1"/>
  <c r="A1751" i="1"/>
  <c r="B1751" i="1"/>
  <c r="C1751" i="1"/>
  <c r="E1751" i="1"/>
  <c r="I1751" i="1"/>
  <c r="J1751" i="1"/>
  <c r="A1752" i="1"/>
  <c r="B1752" i="1"/>
  <c r="C1752" i="1"/>
  <c r="E1752" i="1"/>
  <c r="I1752" i="1"/>
  <c r="J1752" i="1"/>
  <c r="A1753" i="1"/>
  <c r="B1753" i="1"/>
  <c r="C1753" i="1"/>
  <c r="D1753" i="1"/>
  <c r="E1753" i="1" s="1"/>
  <c r="I1753" i="1"/>
  <c r="J1753" i="1"/>
  <c r="A1754" i="1"/>
  <c r="B1754" i="1"/>
  <c r="C1754" i="1"/>
  <c r="E1754" i="1"/>
  <c r="I1754" i="1"/>
  <c r="J1754" i="1"/>
  <c r="A1755" i="1"/>
  <c r="B1755" i="1"/>
  <c r="C1755" i="1"/>
  <c r="E1755" i="1"/>
  <c r="I1755" i="1"/>
  <c r="J1755" i="1"/>
  <c r="A1756" i="1"/>
  <c r="B1756" i="1"/>
  <c r="C1756" i="1"/>
  <c r="E1756" i="1"/>
  <c r="I1756" i="1"/>
  <c r="J1756" i="1"/>
  <c r="A1757" i="1"/>
  <c r="B1757" i="1"/>
  <c r="C1757" i="1"/>
  <c r="E1757" i="1"/>
  <c r="I1757" i="1"/>
  <c r="J1757" i="1"/>
  <c r="A1758" i="1"/>
  <c r="B1758" i="1"/>
  <c r="C1758" i="1"/>
  <c r="E1758" i="1"/>
  <c r="I1758" i="1"/>
  <c r="J1758" i="1"/>
  <c r="A1759" i="1"/>
  <c r="B1759" i="1"/>
  <c r="C1759" i="1"/>
  <c r="E1759" i="1"/>
  <c r="I1759" i="1"/>
  <c r="J1759" i="1"/>
  <c r="A1760" i="1"/>
  <c r="B1760" i="1"/>
  <c r="C1760" i="1"/>
  <c r="E1760" i="1"/>
  <c r="I1760" i="1"/>
  <c r="J1760" i="1"/>
  <c r="A1761" i="1"/>
  <c r="B1761" i="1"/>
  <c r="C1761" i="1"/>
  <c r="E1761" i="1"/>
  <c r="I1761" i="1"/>
  <c r="J1761" i="1"/>
  <c r="A1762" i="1"/>
  <c r="B1762" i="1"/>
  <c r="C1762" i="1"/>
  <c r="E1762" i="1"/>
  <c r="I1762" i="1"/>
  <c r="J1762" i="1"/>
  <c r="A1763" i="1"/>
  <c r="B1763" i="1"/>
  <c r="C1763" i="1"/>
  <c r="E1763" i="1"/>
  <c r="I1763" i="1"/>
  <c r="J1763" i="1"/>
  <c r="A1764" i="1"/>
  <c r="B1764" i="1"/>
  <c r="C1764" i="1"/>
  <c r="E1764" i="1"/>
  <c r="I1764" i="1"/>
  <c r="J1764" i="1"/>
  <c r="A1765" i="1"/>
  <c r="B1765" i="1"/>
  <c r="C1765" i="1"/>
  <c r="D1765" i="1"/>
  <c r="I1765" i="1"/>
  <c r="J1765" i="1"/>
  <c r="A1766" i="1"/>
  <c r="B1766" i="1"/>
  <c r="C1766" i="1"/>
  <c r="D1766" i="1"/>
  <c r="I1766" i="1"/>
  <c r="J1766" i="1"/>
  <c r="A1767" i="1"/>
  <c r="B1767" i="1"/>
  <c r="C1767" i="1"/>
  <c r="D1767" i="1"/>
  <c r="I1767" i="1"/>
  <c r="J1767" i="1"/>
  <c r="A1768" i="1"/>
  <c r="B1768" i="1"/>
  <c r="C1768" i="1"/>
  <c r="D1768" i="1"/>
  <c r="E1768" i="1" s="1"/>
  <c r="I1768" i="1"/>
  <c r="J1768" i="1"/>
  <c r="A1769" i="1"/>
  <c r="B1769" i="1"/>
  <c r="C1769" i="1"/>
  <c r="D1769" i="1"/>
  <c r="E1769" i="1"/>
  <c r="I1769" i="1"/>
  <c r="J1769" i="1"/>
  <c r="A1770" i="1"/>
  <c r="B1770" i="1"/>
  <c r="C1770" i="1"/>
  <c r="D1770" i="1"/>
  <c r="E1770" i="1" s="1"/>
  <c r="I1770" i="1"/>
  <c r="J1770" i="1"/>
  <c r="A1771" i="1"/>
  <c r="B1771" i="1"/>
  <c r="C1771" i="1"/>
  <c r="D1771" i="1"/>
  <c r="E1771" i="1" s="1"/>
  <c r="I1771" i="1"/>
  <c r="J1771" i="1"/>
  <c r="A1772" i="1"/>
  <c r="B1772" i="1"/>
  <c r="C1772" i="1"/>
  <c r="D1772" i="1"/>
  <c r="E1772" i="1" s="1"/>
  <c r="I1772" i="1"/>
  <c r="J1772" i="1"/>
  <c r="A1773" i="1"/>
  <c r="B1773" i="1"/>
  <c r="C1773" i="1"/>
  <c r="D1773" i="1"/>
  <c r="E1773" i="1"/>
  <c r="I1773" i="1"/>
  <c r="J1773" i="1"/>
  <c r="A1774" i="1"/>
  <c r="B1774" i="1"/>
  <c r="C1774" i="1"/>
  <c r="D1774" i="1"/>
  <c r="E1774" i="1" s="1"/>
  <c r="I1774" i="1"/>
  <c r="J1774" i="1"/>
  <c r="A1775" i="1"/>
  <c r="B1775" i="1"/>
  <c r="C1775" i="1"/>
  <c r="D1775" i="1"/>
  <c r="E1775" i="1" s="1"/>
  <c r="I1775" i="1"/>
  <c r="J1775" i="1"/>
  <c r="A1776" i="1"/>
  <c r="B1776" i="1"/>
  <c r="C1776" i="1"/>
  <c r="D1776" i="1"/>
  <c r="E1776" i="1" s="1"/>
  <c r="I1776" i="1"/>
  <c r="J1776" i="1"/>
  <c r="A1777" i="1"/>
  <c r="B1777" i="1"/>
  <c r="C1777" i="1"/>
  <c r="D1777" i="1"/>
  <c r="E1777" i="1"/>
  <c r="I1777" i="1"/>
  <c r="J1777" i="1"/>
  <c r="A1778" i="1"/>
  <c r="B1778" i="1"/>
  <c r="C1778" i="1"/>
  <c r="D1778" i="1"/>
  <c r="E1778" i="1" s="1"/>
  <c r="I1778" i="1"/>
  <c r="J1778" i="1"/>
  <c r="A1779" i="1"/>
  <c r="B1779" i="1"/>
  <c r="C1779" i="1"/>
  <c r="D1779" i="1"/>
  <c r="E1779" i="1" s="1"/>
  <c r="I1779" i="1"/>
  <c r="J1779" i="1"/>
  <c r="A1780" i="1"/>
  <c r="B1780" i="1"/>
  <c r="C1780" i="1"/>
  <c r="D1780" i="1"/>
  <c r="E1780" i="1" s="1"/>
  <c r="I1780" i="1"/>
  <c r="J1780" i="1"/>
  <c r="A1781" i="1"/>
  <c r="B1781" i="1"/>
  <c r="C1781" i="1"/>
  <c r="D1781" i="1"/>
  <c r="E1781" i="1"/>
  <c r="I1781" i="1"/>
  <c r="J1781" i="1"/>
  <c r="A1782" i="1"/>
  <c r="B1782" i="1"/>
  <c r="C1782" i="1"/>
  <c r="D1782" i="1"/>
  <c r="E1782" i="1" s="1"/>
  <c r="I1782" i="1"/>
  <c r="J1782" i="1"/>
  <c r="A1783" i="1"/>
  <c r="B1783" i="1"/>
  <c r="C1783" i="1"/>
  <c r="D1783" i="1"/>
  <c r="E1783" i="1" s="1"/>
  <c r="I1783" i="1"/>
  <c r="J1783" i="1"/>
  <c r="A1784" i="1"/>
  <c r="B1784" i="1"/>
  <c r="C1784" i="1"/>
  <c r="D1784" i="1"/>
  <c r="E1784" i="1" s="1"/>
  <c r="I1784" i="1"/>
  <c r="J1784" i="1"/>
  <c r="A1785" i="1"/>
  <c r="B1785" i="1"/>
  <c r="C1785" i="1"/>
  <c r="D1785" i="1"/>
  <c r="E1785" i="1"/>
  <c r="I1785" i="1"/>
  <c r="J1785" i="1"/>
  <c r="A1786" i="1"/>
  <c r="B1786" i="1"/>
  <c r="C1786" i="1"/>
  <c r="D1786" i="1"/>
  <c r="E1786" i="1" s="1"/>
  <c r="I1786" i="1"/>
  <c r="J1786" i="1"/>
  <c r="A1787" i="1"/>
  <c r="B1787" i="1"/>
  <c r="C1787" i="1"/>
  <c r="D1787" i="1"/>
  <c r="E1787" i="1" s="1"/>
  <c r="I1787" i="1"/>
  <c r="J1787" i="1"/>
  <c r="A1788" i="1"/>
  <c r="B1788" i="1"/>
  <c r="C1788" i="1"/>
  <c r="D1788" i="1"/>
  <c r="E1788" i="1" s="1"/>
  <c r="I1788" i="1"/>
  <c r="J1788" i="1"/>
  <c r="A1789" i="1"/>
  <c r="B1789" i="1"/>
  <c r="C1789" i="1"/>
  <c r="D1789" i="1"/>
  <c r="E1789" i="1"/>
  <c r="I1789" i="1"/>
  <c r="J1789" i="1"/>
  <c r="A1790" i="1"/>
  <c r="B1790" i="1"/>
  <c r="C1790" i="1"/>
  <c r="D1790" i="1"/>
  <c r="E1790" i="1"/>
  <c r="I1790" i="1"/>
  <c r="J1790" i="1"/>
  <c r="A1791" i="1"/>
  <c r="B1791" i="1"/>
  <c r="C1791" i="1"/>
  <c r="D1791" i="1"/>
  <c r="E1791" i="1" s="1"/>
  <c r="I1791" i="1"/>
  <c r="J1791" i="1"/>
  <c r="A1792" i="1"/>
  <c r="B1792" i="1"/>
  <c r="C1792" i="1"/>
  <c r="D1792" i="1"/>
  <c r="E1792" i="1" s="1"/>
  <c r="I1792" i="1"/>
  <c r="J1792" i="1"/>
  <c r="A1793" i="1"/>
  <c r="B1793" i="1"/>
  <c r="C1793" i="1"/>
  <c r="D1793" i="1"/>
  <c r="E1793" i="1"/>
  <c r="I1793" i="1"/>
  <c r="J1793" i="1"/>
  <c r="A1794" i="1"/>
  <c r="B1794" i="1"/>
  <c r="C1794" i="1"/>
  <c r="D1794" i="1"/>
  <c r="E1794" i="1" s="1"/>
  <c r="I1794" i="1"/>
  <c r="J1794" i="1"/>
  <c r="A1795" i="1"/>
  <c r="B1795" i="1"/>
  <c r="C1795" i="1"/>
  <c r="D1795" i="1"/>
  <c r="E1795" i="1" s="1"/>
  <c r="I1795" i="1"/>
  <c r="J1795" i="1"/>
  <c r="A1796" i="1"/>
  <c r="B1796" i="1"/>
  <c r="C1796" i="1"/>
  <c r="D1796" i="1"/>
  <c r="E1796" i="1" s="1"/>
  <c r="I1796" i="1"/>
  <c r="J1796" i="1"/>
  <c r="A1797" i="1"/>
  <c r="B1797" i="1"/>
  <c r="C1797" i="1"/>
  <c r="D1797" i="1"/>
  <c r="E1797" i="1"/>
  <c r="I1797" i="1"/>
  <c r="J1797" i="1"/>
  <c r="A1798" i="1"/>
  <c r="B1798" i="1"/>
  <c r="C1798" i="1"/>
  <c r="D1798" i="1"/>
  <c r="E1798" i="1" s="1"/>
  <c r="I1798" i="1"/>
  <c r="J1798" i="1"/>
  <c r="A1799" i="1"/>
  <c r="B1799" i="1"/>
  <c r="C1799" i="1"/>
  <c r="D1799" i="1"/>
  <c r="E1799" i="1" s="1"/>
  <c r="I1799" i="1"/>
  <c r="J1799" i="1"/>
  <c r="A1800" i="1"/>
  <c r="B1800" i="1"/>
  <c r="C1800" i="1"/>
  <c r="D1800" i="1"/>
  <c r="E1800" i="1" s="1"/>
  <c r="I1800" i="1"/>
  <c r="J1800" i="1"/>
  <c r="A1801" i="1"/>
  <c r="B1801" i="1"/>
  <c r="C1801" i="1"/>
  <c r="D1801" i="1"/>
  <c r="E1801" i="1"/>
  <c r="I1801" i="1"/>
  <c r="J1801" i="1"/>
  <c r="A1802" i="1"/>
  <c r="B1802" i="1"/>
  <c r="C1802" i="1"/>
  <c r="D1802" i="1"/>
  <c r="E1802" i="1" s="1"/>
  <c r="I1802" i="1"/>
  <c r="J1802" i="1"/>
  <c r="A1803" i="1"/>
  <c r="B1803" i="1"/>
  <c r="C1803" i="1"/>
  <c r="D1803" i="1"/>
  <c r="E1803" i="1" s="1"/>
  <c r="I1803" i="1"/>
  <c r="J1803" i="1"/>
  <c r="A1804" i="1"/>
  <c r="B1804" i="1"/>
  <c r="C1804" i="1"/>
  <c r="D1804" i="1"/>
  <c r="E1804" i="1" s="1"/>
  <c r="I1804" i="1"/>
  <c r="J1804" i="1"/>
  <c r="A1805" i="1"/>
  <c r="B1805" i="1"/>
  <c r="C1805" i="1"/>
  <c r="D1805" i="1"/>
  <c r="E1805" i="1" s="1"/>
  <c r="I1805" i="1"/>
  <c r="J1805" i="1"/>
  <c r="A1806" i="1"/>
  <c r="B1806" i="1"/>
  <c r="C1806" i="1"/>
  <c r="D1806" i="1"/>
  <c r="E1806" i="1"/>
  <c r="I1806" i="1"/>
  <c r="J1806" i="1"/>
  <c r="A1807" i="1"/>
  <c r="B1807" i="1"/>
  <c r="C1807" i="1"/>
  <c r="D1807" i="1"/>
  <c r="E1807" i="1" s="1"/>
  <c r="I1807" i="1"/>
  <c r="J1807" i="1"/>
  <c r="A1808" i="1"/>
  <c r="B1808" i="1"/>
  <c r="C1808" i="1"/>
  <c r="D1808" i="1"/>
  <c r="E1808" i="1" s="1"/>
  <c r="I1808" i="1"/>
  <c r="J1808" i="1"/>
  <c r="A1809" i="1"/>
  <c r="B1809" i="1"/>
  <c r="C1809" i="1"/>
  <c r="D1809" i="1"/>
  <c r="E1809" i="1"/>
  <c r="I1809" i="1"/>
  <c r="J1809" i="1"/>
  <c r="A1810" i="1"/>
  <c r="B1810" i="1"/>
  <c r="C1810" i="1"/>
  <c r="D1810" i="1"/>
  <c r="E1810" i="1" s="1"/>
  <c r="I1810" i="1"/>
  <c r="J1810" i="1"/>
  <c r="A1811" i="1"/>
  <c r="B1811" i="1"/>
  <c r="C1811" i="1"/>
  <c r="D1811" i="1"/>
  <c r="E1811" i="1" s="1"/>
  <c r="I1811" i="1"/>
  <c r="J1811" i="1"/>
  <c r="A1812" i="1"/>
  <c r="B1812" i="1"/>
  <c r="C1812" i="1"/>
  <c r="D1812" i="1"/>
  <c r="E1812" i="1" s="1"/>
  <c r="I1812" i="1"/>
  <c r="J1812" i="1"/>
  <c r="A1813" i="1"/>
  <c r="B1813" i="1"/>
  <c r="C1813" i="1"/>
  <c r="D1813" i="1"/>
  <c r="E1813" i="1"/>
  <c r="I1813" i="1"/>
  <c r="J1813" i="1"/>
  <c r="A1814" i="1"/>
  <c r="B1814" i="1"/>
  <c r="C1814" i="1"/>
  <c r="D1814" i="1"/>
  <c r="E1814" i="1" s="1"/>
  <c r="I1814" i="1"/>
  <c r="J1814" i="1"/>
  <c r="A1815" i="1"/>
  <c r="B1815" i="1"/>
  <c r="C1815" i="1"/>
  <c r="D1815" i="1"/>
  <c r="E1815" i="1" s="1"/>
  <c r="I1815" i="1"/>
  <c r="J1815" i="1"/>
  <c r="A1816" i="1"/>
  <c r="B1816" i="1"/>
  <c r="C1816" i="1"/>
  <c r="D1816" i="1"/>
  <c r="E1816" i="1" s="1"/>
  <c r="I1816" i="1"/>
  <c r="J1816" i="1"/>
  <c r="A1817" i="1"/>
  <c r="B1817" i="1"/>
  <c r="C1817" i="1"/>
  <c r="D1817" i="1"/>
  <c r="E1817" i="1"/>
  <c r="I1817" i="1"/>
  <c r="J1817" i="1"/>
  <c r="A1818" i="1"/>
  <c r="B1818" i="1"/>
  <c r="C1818" i="1"/>
  <c r="D1818" i="1"/>
  <c r="E1818" i="1" s="1"/>
  <c r="I1818" i="1"/>
  <c r="J1818" i="1"/>
  <c r="A1819" i="1"/>
  <c r="B1819" i="1"/>
  <c r="C1819" i="1"/>
  <c r="D1819" i="1"/>
  <c r="E1819" i="1" s="1"/>
  <c r="I1819" i="1"/>
  <c r="J1819" i="1"/>
  <c r="A1820" i="1"/>
  <c r="B1820" i="1"/>
  <c r="C1820" i="1"/>
  <c r="D1820" i="1"/>
  <c r="E1820" i="1" s="1"/>
  <c r="I1820" i="1"/>
  <c r="J1820" i="1"/>
  <c r="A1821" i="1"/>
  <c r="B1821" i="1"/>
  <c r="C1821" i="1"/>
  <c r="D1821" i="1"/>
  <c r="E1821" i="1" s="1"/>
  <c r="I1821" i="1"/>
  <c r="J1821" i="1"/>
  <c r="A1822" i="1"/>
  <c r="B1822" i="1"/>
  <c r="C1822" i="1"/>
  <c r="D1822" i="1"/>
  <c r="E1822" i="1"/>
  <c r="I1822" i="1"/>
  <c r="J1822" i="1"/>
  <c r="A1823" i="1"/>
  <c r="B1823" i="1"/>
  <c r="C1823" i="1"/>
  <c r="D1823" i="1"/>
  <c r="E1823" i="1" s="1"/>
  <c r="I1823" i="1"/>
  <c r="J1823" i="1"/>
  <c r="A1824" i="1"/>
  <c r="B1824" i="1"/>
  <c r="C1824" i="1"/>
  <c r="D1824" i="1"/>
  <c r="E1824" i="1" s="1"/>
  <c r="I1824" i="1"/>
  <c r="J1824" i="1"/>
  <c r="A1825" i="1"/>
  <c r="B1825" i="1"/>
  <c r="C1825" i="1"/>
  <c r="D1825" i="1"/>
  <c r="E1825" i="1"/>
  <c r="I1825" i="1"/>
  <c r="J1825" i="1"/>
  <c r="A1826" i="1"/>
  <c r="B1826" i="1"/>
  <c r="C1826" i="1"/>
  <c r="D1826" i="1"/>
  <c r="E1826" i="1" s="1"/>
  <c r="I1826" i="1"/>
  <c r="J1826" i="1"/>
  <c r="A1827" i="1"/>
  <c r="B1827" i="1"/>
  <c r="C1827" i="1"/>
  <c r="D1827" i="1"/>
  <c r="E1827" i="1" s="1"/>
  <c r="I1827" i="1"/>
  <c r="J1827" i="1"/>
  <c r="A1828" i="1"/>
  <c r="B1828" i="1"/>
  <c r="C1828" i="1"/>
  <c r="D1828" i="1"/>
  <c r="E1828" i="1" s="1"/>
  <c r="I1828" i="1"/>
  <c r="J1828" i="1"/>
  <c r="A1829" i="1"/>
  <c r="B1829" i="1"/>
  <c r="C1829" i="1"/>
  <c r="D1829" i="1"/>
  <c r="E1829" i="1"/>
  <c r="I1829" i="1"/>
  <c r="J1829" i="1"/>
  <c r="A1830" i="1"/>
  <c r="B1830" i="1"/>
  <c r="C1830" i="1"/>
  <c r="D1830" i="1"/>
  <c r="E1830" i="1" s="1"/>
  <c r="I1830" i="1"/>
  <c r="J1830" i="1"/>
  <c r="A1831" i="1"/>
  <c r="B1831" i="1"/>
  <c r="C1831" i="1"/>
  <c r="D1831" i="1"/>
  <c r="E1831" i="1" s="1"/>
  <c r="I1831" i="1"/>
  <c r="J1831" i="1"/>
  <c r="A1832" i="1"/>
  <c r="B1832" i="1"/>
  <c r="C1832" i="1"/>
  <c r="D1832" i="1"/>
  <c r="E1832" i="1" s="1"/>
  <c r="I1832" i="1"/>
  <c r="J1832" i="1"/>
  <c r="A1833" i="1"/>
  <c r="B1833" i="1"/>
  <c r="C1833" i="1"/>
  <c r="D1833" i="1"/>
  <c r="E1833" i="1"/>
  <c r="I1833" i="1"/>
  <c r="J1833" i="1"/>
  <c r="A1834" i="1"/>
  <c r="B1834" i="1"/>
  <c r="C1834" i="1"/>
  <c r="D1834" i="1"/>
  <c r="E1834" i="1" s="1"/>
  <c r="I1834" i="1"/>
  <c r="J1834" i="1"/>
  <c r="A1835" i="1"/>
  <c r="B1835" i="1"/>
  <c r="C1835" i="1"/>
  <c r="D1835" i="1"/>
  <c r="E1835" i="1" s="1"/>
  <c r="I1835" i="1"/>
  <c r="J1835" i="1"/>
  <c r="A1836" i="1"/>
  <c r="B1836" i="1"/>
  <c r="C1836" i="1"/>
  <c r="D1836" i="1"/>
  <c r="E1836" i="1" s="1"/>
  <c r="I1836" i="1"/>
  <c r="J1836" i="1"/>
  <c r="A1837" i="1"/>
  <c r="B1837" i="1"/>
  <c r="C1837" i="1"/>
  <c r="D1837" i="1"/>
  <c r="E1837" i="1" s="1"/>
  <c r="I1837" i="1"/>
  <c r="J1837" i="1"/>
  <c r="A1838" i="1"/>
  <c r="B1838" i="1"/>
  <c r="C1838" i="1"/>
  <c r="D1838" i="1"/>
  <c r="E1838" i="1"/>
  <c r="I1838" i="1"/>
  <c r="J1838" i="1"/>
  <c r="A1839" i="1"/>
  <c r="B1839" i="1"/>
  <c r="C1839" i="1"/>
  <c r="D1839" i="1"/>
  <c r="E1839" i="1" s="1"/>
  <c r="I1839" i="1"/>
  <c r="J1839" i="1"/>
  <c r="A1840" i="1"/>
  <c r="B1840" i="1"/>
  <c r="C1840" i="1"/>
  <c r="D1840" i="1"/>
  <c r="E1840" i="1" s="1"/>
  <c r="I1840" i="1"/>
  <c r="J1840" i="1"/>
  <c r="A1841" i="1"/>
  <c r="B1841" i="1"/>
  <c r="C1841" i="1"/>
  <c r="D1841" i="1"/>
  <c r="E1841" i="1"/>
  <c r="I1841" i="1"/>
  <c r="J1841" i="1"/>
  <c r="A1842" i="1"/>
  <c r="B1842" i="1"/>
  <c r="C1842" i="1"/>
  <c r="D1842" i="1"/>
  <c r="E1842" i="1" s="1"/>
  <c r="I1842" i="1"/>
  <c r="J1842" i="1"/>
  <c r="A1843" i="1"/>
  <c r="B1843" i="1"/>
  <c r="C1843" i="1"/>
  <c r="D1843" i="1"/>
  <c r="E1843" i="1" s="1"/>
  <c r="I1843" i="1"/>
  <c r="J1843" i="1"/>
  <c r="A1844" i="1"/>
  <c r="B1844" i="1"/>
  <c r="C1844" i="1"/>
  <c r="D1844" i="1"/>
  <c r="E1844" i="1" s="1"/>
  <c r="I1844" i="1"/>
  <c r="J1844" i="1"/>
  <c r="A1845" i="1"/>
  <c r="B1845" i="1"/>
  <c r="C1845" i="1"/>
  <c r="D1845" i="1"/>
  <c r="E1845" i="1"/>
  <c r="I1845" i="1"/>
  <c r="J1845" i="1"/>
  <c r="A1846" i="1"/>
  <c r="B1846" i="1"/>
  <c r="C1846" i="1"/>
  <c r="D1846" i="1"/>
  <c r="E1846" i="1" s="1"/>
  <c r="I1846" i="1"/>
  <c r="J1846" i="1"/>
  <c r="A1847" i="1"/>
  <c r="B1847" i="1"/>
  <c r="C1847" i="1"/>
  <c r="D1847" i="1"/>
  <c r="E1847" i="1" s="1"/>
  <c r="I1847" i="1"/>
  <c r="J1847" i="1"/>
  <c r="A1848" i="1"/>
  <c r="B1848" i="1"/>
  <c r="C1848" i="1"/>
  <c r="D1848" i="1"/>
  <c r="E1848" i="1" s="1"/>
  <c r="I1848" i="1"/>
  <c r="J1848" i="1"/>
  <c r="A1849" i="1"/>
  <c r="B1849" i="1"/>
  <c r="C1849" i="1"/>
  <c r="D1849" i="1"/>
  <c r="E1849" i="1"/>
  <c r="I1849" i="1"/>
  <c r="J1849" i="1"/>
  <c r="A1850" i="1"/>
  <c r="B1850" i="1"/>
  <c r="C1850" i="1"/>
  <c r="D1850" i="1"/>
  <c r="E1850" i="1" s="1"/>
  <c r="I1850" i="1"/>
  <c r="J1850" i="1"/>
  <c r="A1851" i="1"/>
  <c r="B1851" i="1"/>
  <c r="C1851" i="1"/>
  <c r="D1851" i="1"/>
  <c r="E1851" i="1" s="1"/>
  <c r="I1851" i="1"/>
  <c r="J1851" i="1"/>
  <c r="A1852" i="1"/>
  <c r="B1852" i="1"/>
  <c r="C1852" i="1"/>
  <c r="D1852" i="1"/>
  <c r="E1852" i="1" s="1"/>
  <c r="I1852" i="1"/>
  <c r="J1852" i="1"/>
  <c r="A1853" i="1"/>
  <c r="B1853" i="1"/>
  <c r="C1853" i="1"/>
  <c r="D1853" i="1"/>
  <c r="E1853" i="1" s="1"/>
  <c r="I1853" i="1"/>
  <c r="J1853" i="1"/>
  <c r="A1854" i="1"/>
  <c r="B1854" i="1"/>
  <c r="C1854" i="1"/>
  <c r="D1854" i="1"/>
  <c r="E1854" i="1"/>
  <c r="I1854" i="1"/>
  <c r="J1854" i="1"/>
  <c r="A1855" i="1"/>
  <c r="B1855" i="1"/>
  <c r="C1855" i="1"/>
  <c r="D1855" i="1"/>
  <c r="E1855" i="1" s="1"/>
  <c r="I1855" i="1"/>
  <c r="J1855" i="1"/>
  <c r="A1856" i="1"/>
  <c r="B1856" i="1"/>
  <c r="C1856" i="1"/>
  <c r="D1856" i="1"/>
  <c r="E1856" i="1" s="1"/>
  <c r="I1856" i="1"/>
  <c r="J1856" i="1"/>
  <c r="A1857" i="1"/>
  <c r="B1857" i="1"/>
  <c r="C1857" i="1"/>
  <c r="D1857" i="1"/>
  <c r="E1857" i="1"/>
  <c r="I1857" i="1"/>
  <c r="J1857" i="1"/>
  <c r="A1858" i="1"/>
  <c r="B1858" i="1"/>
  <c r="C1858" i="1"/>
  <c r="D1858" i="1"/>
  <c r="E1858" i="1" s="1"/>
  <c r="I1858" i="1"/>
  <c r="J1858" i="1"/>
  <c r="A1859" i="1"/>
  <c r="B1859" i="1"/>
  <c r="C1859" i="1"/>
  <c r="D1859" i="1"/>
  <c r="E1859" i="1" s="1"/>
  <c r="I1859" i="1"/>
  <c r="J1859" i="1"/>
  <c r="A1860" i="1"/>
  <c r="B1860" i="1"/>
  <c r="C1860" i="1"/>
  <c r="D1860" i="1"/>
  <c r="E1860" i="1" s="1"/>
  <c r="I1860" i="1"/>
  <c r="J1860" i="1"/>
  <c r="A1861" i="1"/>
  <c r="B1861" i="1"/>
  <c r="C1861" i="1"/>
  <c r="D1861" i="1"/>
  <c r="E1861" i="1"/>
  <c r="I1861" i="1"/>
  <c r="J1861" i="1"/>
  <c r="A1862" i="1"/>
  <c r="B1862" i="1"/>
  <c r="C1862" i="1"/>
  <c r="D1862" i="1"/>
  <c r="E1862" i="1" s="1"/>
  <c r="I1862" i="1"/>
  <c r="J1862" i="1"/>
  <c r="A1863" i="1"/>
  <c r="B1863" i="1"/>
  <c r="C1863" i="1"/>
  <c r="D1863" i="1"/>
  <c r="E1863" i="1" s="1"/>
  <c r="I1863" i="1"/>
  <c r="J1863" i="1"/>
  <c r="A1864" i="1"/>
  <c r="B1864" i="1"/>
  <c r="C1864" i="1"/>
  <c r="D1864" i="1"/>
  <c r="E1864" i="1" s="1"/>
  <c r="I1864" i="1"/>
  <c r="J1864" i="1"/>
  <c r="A1865" i="1"/>
  <c r="B1865" i="1"/>
  <c r="C1865" i="1"/>
  <c r="D1865" i="1"/>
  <c r="E1865" i="1"/>
  <c r="I1865" i="1"/>
  <c r="J1865" i="1"/>
  <c r="A1866" i="1"/>
  <c r="B1866" i="1"/>
  <c r="C1866" i="1"/>
  <c r="D1866" i="1"/>
  <c r="E1866" i="1" s="1"/>
  <c r="I1866" i="1"/>
  <c r="J1866" i="1"/>
  <c r="A1867" i="1"/>
  <c r="B1867" i="1"/>
  <c r="C1867" i="1"/>
  <c r="D1867" i="1"/>
  <c r="E1867" i="1" s="1"/>
  <c r="I1867" i="1"/>
  <c r="J1867" i="1"/>
  <c r="A1868" i="1"/>
  <c r="B1868" i="1"/>
  <c r="C1868" i="1"/>
  <c r="D1868" i="1"/>
  <c r="I1868" i="1"/>
  <c r="J1868" i="1"/>
  <c r="A1869" i="1"/>
  <c r="B1869" i="1"/>
  <c r="C1869" i="1"/>
  <c r="D1869" i="1"/>
  <c r="I1869" i="1"/>
  <c r="J1869" i="1"/>
  <c r="A1870" i="1"/>
  <c r="B1870" i="1"/>
  <c r="C1870" i="1"/>
  <c r="D1870" i="1"/>
  <c r="E1870" i="1" s="1"/>
  <c r="I1870" i="1"/>
  <c r="J1870" i="1"/>
  <c r="A1871" i="1"/>
  <c r="B1871" i="1"/>
  <c r="C1871" i="1"/>
  <c r="D1871" i="1"/>
  <c r="I1871" i="1"/>
  <c r="J1871" i="1"/>
  <c r="A1872" i="1"/>
  <c r="B1872" i="1"/>
  <c r="C1872" i="1"/>
  <c r="D1872" i="1"/>
  <c r="E1872" i="1" s="1"/>
  <c r="I1872" i="1"/>
  <c r="J1872" i="1"/>
  <c r="A1873" i="1"/>
  <c r="B1873" i="1"/>
  <c r="C1873" i="1"/>
  <c r="E1873" i="1"/>
  <c r="I1873" i="1"/>
  <c r="J1873" i="1"/>
  <c r="A1874" i="1"/>
  <c r="B1874" i="1"/>
  <c r="C1874" i="1"/>
  <c r="E1874" i="1"/>
  <c r="I1874" i="1"/>
  <c r="J1874" i="1"/>
  <c r="A1875" i="1"/>
  <c r="B1875" i="1"/>
  <c r="C1875" i="1"/>
  <c r="E1875" i="1"/>
  <c r="I1875" i="1"/>
  <c r="J1875" i="1"/>
  <c r="A1876" i="1"/>
  <c r="B1876" i="1"/>
  <c r="C1876" i="1"/>
  <c r="E1876" i="1"/>
  <c r="I1876" i="1"/>
  <c r="J1876" i="1"/>
  <c r="A1877" i="1"/>
  <c r="B1877" i="1"/>
  <c r="C1877" i="1"/>
  <c r="E1877" i="1"/>
  <c r="I1877" i="1"/>
  <c r="J1877" i="1"/>
  <c r="A1878" i="1"/>
  <c r="B1878" i="1"/>
  <c r="C1878" i="1"/>
  <c r="E1878" i="1"/>
  <c r="I1878" i="1"/>
  <c r="J1878" i="1"/>
  <c r="A1879" i="1"/>
  <c r="B1879" i="1"/>
  <c r="C1879" i="1"/>
  <c r="E1879" i="1"/>
  <c r="I1879" i="1"/>
  <c r="J1879" i="1"/>
  <c r="A1880" i="1"/>
  <c r="B1880" i="1"/>
  <c r="C1880" i="1"/>
  <c r="E1880" i="1"/>
  <c r="I1880" i="1"/>
  <c r="J1880" i="1"/>
  <c r="A1881" i="1"/>
  <c r="B1881" i="1"/>
  <c r="C1881" i="1"/>
  <c r="E1881" i="1"/>
  <c r="I1881" i="1"/>
  <c r="J1881" i="1"/>
  <c r="A1882" i="1"/>
  <c r="B1882" i="1"/>
  <c r="C1882" i="1"/>
  <c r="E1882" i="1"/>
  <c r="I1882" i="1"/>
  <c r="J1882" i="1"/>
  <c r="A1883" i="1"/>
  <c r="B1883" i="1"/>
  <c r="C1883" i="1"/>
  <c r="E1883" i="1"/>
  <c r="I1883" i="1"/>
  <c r="J1883" i="1"/>
  <c r="A1884" i="1"/>
  <c r="B1884" i="1"/>
  <c r="C1884" i="1"/>
  <c r="E1884" i="1"/>
  <c r="I1884" i="1"/>
  <c r="J1884" i="1"/>
  <c r="A1885" i="1"/>
  <c r="B1885" i="1"/>
  <c r="C1885" i="1"/>
  <c r="E1885" i="1"/>
  <c r="I1885" i="1"/>
  <c r="J1885" i="1"/>
  <c r="A1886" i="1"/>
  <c r="B1886" i="1"/>
  <c r="C1886" i="1"/>
  <c r="E1886" i="1"/>
  <c r="I1886" i="1"/>
  <c r="J1886" i="1"/>
  <c r="A1887" i="1"/>
  <c r="B1887" i="1"/>
  <c r="C1887" i="1"/>
  <c r="E1887" i="1"/>
  <c r="I1887" i="1"/>
  <c r="J1887" i="1"/>
  <c r="A1888" i="1"/>
  <c r="B1888" i="1"/>
  <c r="C1888" i="1"/>
  <c r="E1888" i="1"/>
  <c r="I1888" i="1"/>
  <c r="J1888" i="1"/>
  <c r="A1889" i="1"/>
  <c r="B1889" i="1"/>
  <c r="C1889" i="1"/>
  <c r="E1889" i="1"/>
  <c r="I1889" i="1"/>
  <c r="J1889" i="1"/>
  <c r="A1890" i="1"/>
  <c r="B1890" i="1"/>
  <c r="C1890" i="1"/>
  <c r="E1890" i="1"/>
  <c r="I1890" i="1"/>
  <c r="J1890" i="1"/>
  <c r="A1891" i="1"/>
  <c r="B1891" i="1"/>
  <c r="C1891" i="1"/>
  <c r="E1891" i="1"/>
  <c r="I1891" i="1"/>
  <c r="J1891" i="1"/>
  <c r="A1892" i="1"/>
  <c r="B1892" i="1"/>
  <c r="C1892" i="1"/>
  <c r="E1892" i="1"/>
  <c r="I1892" i="1"/>
  <c r="J1892" i="1"/>
  <c r="A1893" i="1"/>
  <c r="B1893" i="1"/>
  <c r="C1893" i="1"/>
  <c r="D1893" i="1"/>
  <c r="E1893" i="1" s="1"/>
  <c r="I1893" i="1"/>
  <c r="J1893" i="1"/>
  <c r="A1894" i="1"/>
  <c r="B1894" i="1"/>
  <c r="C1894" i="1"/>
  <c r="D1894" i="1"/>
  <c r="I1894" i="1"/>
  <c r="J1894" i="1"/>
  <c r="A1895" i="1"/>
  <c r="B1895" i="1"/>
  <c r="C1895" i="1"/>
  <c r="D1895" i="1"/>
  <c r="E1895" i="1" s="1"/>
  <c r="I1895" i="1"/>
  <c r="J1895" i="1"/>
  <c r="A1896" i="1"/>
  <c r="B1896" i="1"/>
  <c r="C1896" i="1"/>
  <c r="D1896" i="1"/>
  <c r="I1896" i="1"/>
  <c r="J1896" i="1"/>
  <c r="A1897" i="1"/>
  <c r="B1897" i="1"/>
  <c r="C1897" i="1"/>
  <c r="D1897" i="1"/>
  <c r="E1897" i="1" s="1"/>
  <c r="I1897" i="1"/>
  <c r="J1897" i="1"/>
  <c r="A1898" i="1"/>
  <c r="B1898" i="1"/>
  <c r="C1898" i="1"/>
  <c r="D1898" i="1"/>
  <c r="I1898" i="1"/>
  <c r="J1898" i="1"/>
  <c r="A1899" i="1"/>
  <c r="B1899" i="1"/>
  <c r="C1899" i="1"/>
  <c r="D1899" i="1"/>
  <c r="I1899" i="1"/>
  <c r="J1899" i="1"/>
  <c r="A1900" i="1"/>
  <c r="B1900" i="1"/>
  <c r="C1900" i="1"/>
  <c r="D1900" i="1"/>
  <c r="E1900" i="1" s="1"/>
  <c r="I1900" i="1"/>
  <c r="J1900" i="1"/>
  <c r="A1901" i="1"/>
  <c r="B1901" i="1"/>
  <c r="C1901" i="1"/>
  <c r="D1901" i="1"/>
  <c r="I1901" i="1"/>
  <c r="J1901" i="1"/>
  <c r="A1902" i="1"/>
  <c r="B1902" i="1"/>
  <c r="C1902" i="1"/>
  <c r="D1902" i="1"/>
  <c r="E1902" i="1"/>
  <c r="I1902" i="1"/>
  <c r="J1902" i="1"/>
  <c r="A1903" i="1"/>
  <c r="B1903" i="1"/>
  <c r="C1903" i="1"/>
  <c r="D1903" i="1"/>
  <c r="I1903" i="1"/>
  <c r="J1903" i="1"/>
  <c r="A1904" i="1"/>
  <c r="B1904" i="1"/>
  <c r="C1904" i="1"/>
  <c r="D1904" i="1"/>
  <c r="E1904" i="1"/>
  <c r="I1904" i="1"/>
  <c r="J1904" i="1"/>
  <c r="A1905" i="1"/>
  <c r="B1905" i="1"/>
  <c r="C1905" i="1"/>
  <c r="D1905" i="1"/>
  <c r="I1905" i="1"/>
  <c r="J1905" i="1"/>
  <c r="A1906" i="1"/>
  <c r="B1906" i="1"/>
  <c r="C1906" i="1"/>
  <c r="D1906" i="1"/>
  <c r="E1906" i="1" s="1"/>
  <c r="I1906" i="1"/>
  <c r="J1906" i="1"/>
  <c r="A1907" i="1"/>
  <c r="B1907" i="1"/>
  <c r="C1907" i="1"/>
  <c r="D1907" i="1"/>
  <c r="I1907" i="1"/>
  <c r="J1907" i="1"/>
  <c r="A1908" i="1"/>
  <c r="B1908" i="1"/>
  <c r="C1908" i="1"/>
  <c r="D1908" i="1"/>
  <c r="E1908" i="1" s="1"/>
  <c r="I1908" i="1"/>
  <c r="J1908" i="1"/>
  <c r="A1909" i="1"/>
  <c r="B1909" i="1"/>
  <c r="C1909" i="1"/>
  <c r="D1909" i="1"/>
  <c r="I1909" i="1"/>
  <c r="J1909" i="1"/>
  <c r="A1910" i="1"/>
  <c r="B1910" i="1"/>
  <c r="C1910" i="1"/>
  <c r="D1910" i="1"/>
  <c r="E1910" i="1" s="1"/>
  <c r="I1910" i="1"/>
  <c r="J1910" i="1"/>
  <c r="A1911" i="1"/>
  <c r="B1911" i="1"/>
  <c r="C1911" i="1"/>
  <c r="D1911" i="1"/>
  <c r="I1911" i="1"/>
  <c r="J1911" i="1"/>
  <c r="A1912" i="1"/>
  <c r="B1912" i="1"/>
  <c r="C1912" i="1"/>
  <c r="D1912" i="1"/>
  <c r="E1912" i="1" s="1"/>
  <c r="I1912" i="1"/>
  <c r="J1912" i="1"/>
  <c r="A1913" i="1"/>
  <c r="B1913" i="1"/>
  <c r="C1913" i="1"/>
  <c r="D1913" i="1"/>
  <c r="I1913" i="1"/>
  <c r="J1913" i="1"/>
  <c r="A1914" i="1"/>
  <c r="B1914" i="1"/>
  <c r="C1914" i="1"/>
  <c r="D1914" i="1"/>
  <c r="E1914" i="1" s="1"/>
  <c r="I1914" i="1"/>
  <c r="J1914" i="1"/>
  <c r="A1915" i="1"/>
  <c r="B1915" i="1"/>
  <c r="C1915" i="1"/>
  <c r="D1915" i="1"/>
  <c r="I1915" i="1"/>
  <c r="J1915" i="1"/>
  <c r="A1916" i="1"/>
  <c r="B1916" i="1"/>
  <c r="C1916" i="1"/>
  <c r="D1916" i="1"/>
  <c r="E1916" i="1" s="1"/>
  <c r="I1916" i="1"/>
  <c r="J1916" i="1"/>
  <c r="A1917" i="1"/>
  <c r="B1917" i="1"/>
  <c r="C1917" i="1"/>
  <c r="D1917" i="1"/>
  <c r="I1917" i="1"/>
  <c r="J1917" i="1"/>
  <c r="A1918" i="1"/>
  <c r="B1918" i="1"/>
  <c r="C1918" i="1"/>
  <c r="D1918" i="1"/>
  <c r="E1918" i="1" s="1"/>
  <c r="I1918" i="1"/>
  <c r="J1918" i="1"/>
  <c r="A1919" i="1"/>
  <c r="B1919" i="1"/>
  <c r="C1919" i="1"/>
  <c r="D1919" i="1"/>
  <c r="I1919" i="1"/>
  <c r="J1919" i="1"/>
  <c r="A1920" i="1"/>
  <c r="B1920" i="1"/>
  <c r="C1920" i="1"/>
  <c r="D1920" i="1"/>
  <c r="E1920" i="1" s="1"/>
  <c r="I1920" i="1"/>
  <c r="J1920" i="1"/>
  <c r="A1921" i="1"/>
  <c r="B1921" i="1"/>
  <c r="C1921" i="1"/>
  <c r="D1921" i="1"/>
  <c r="I1921" i="1"/>
  <c r="J1921" i="1"/>
  <c r="A1922" i="1"/>
  <c r="B1922" i="1"/>
  <c r="C1922" i="1"/>
  <c r="D1922" i="1"/>
  <c r="E1922" i="1" s="1"/>
  <c r="I1922" i="1"/>
  <c r="J1922" i="1"/>
  <c r="A1923" i="1"/>
  <c r="B1923" i="1"/>
  <c r="C1923" i="1"/>
  <c r="D1923" i="1"/>
  <c r="I1923" i="1"/>
  <c r="J1923" i="1"/>
  <c r="A1924" i="1"/>
  <c r="B1924" i="1"/>
  <c r="C1924" i="1"/>
  <c r="D1924" i="1"/>
  <c r="E1924" i="1" s="1"/>
  <c r="I1924" i="1"/>
  <c r="J1924" i="1"/>
  <c r="A1925" i="1"/>
  <c r="B1925" i="1"/>
  <c r="C1925" i="1"/>
  <c r="D1925" i="1"/>
  <c r="I1925" i="1"/>
  <c r="J1925" i="1"/>
  <c r="A1926" i="1"/>
  <c r="B1926" i="1"/>
  <c r="C1926" i="1"/>
  <c r="D1926" i="1"/>
  <c r="E1926" i="1" s="1"/>
  <c r="I1926" i="1"/>
  <c r="J1926" i="1"/>
  <c r="A1927" i="1"/>
  <c r="B1927" i="1"/>
  <c r="C1927" i="1"/>
  <c r="D1927" i="1"/>
  <c r="I1927" i="1"/>
  <c r="J1927" i="1"/>
  <c r="A1928" i="1"/>
  <c r="B1928" i="1"/>
  <c r="C1928" i="1"/>
  <c r="D1928" i="1"/>
  <c r="E1928" i="1"/>
  <c r="I1928" i="1"/>
  <c r="J1928" i="1"/>
  <c r="A1929" i="1"/>
  <c r="B1929" i="1"/>
  <c r="C1929" i="1"/>
  <c r="D1929" i="1"/>
  <c r="I1929" i="1"/>
  <c r="J1929" i="1"/>
  <c r="A1930" i="1"/>
  <c r="B1930" i="1"/>
  <c r="C1930" i="1"/>
  <c r="E1930" i="1"/>
  <c r="I1930" i="1"/>
  <c r="J1930" i="1"/>
  <c r="A1931" i="1"/>
  <c r="B1931" i="1"/>
  <c r="C1931" i="1"/>
  <c r="D1931" i="1"/>
  <c r="E1931" i="1" s="1"/>
  <c r="I1931" i="1"/>
  <c r="J1931" i="1"/>
  <c r="A1932" i="1"/>
  <c r="B1932" i="1"/>
  <c r="C1932" i="1"/>
  <c r="D1932" i="1"/>
  <c r="I1932" i="1"/>
  <c r="J1932" i="1"/>
  <c r="A1933" i="1"/>
  <c r="B1933" i="1"/>
  <c r="C1933" i="1"/>
  <c r="D1933" i="1"/>
  <c r="E1933" i="1"/>
  <c r="I1933" i="1"/>
  <c r="J1933" i="1"/>
  <c r="A1934" i="1"/>
  <c r="B1934" i="1"/>
  <c r="C1934" i="1"/>
  <c r="D1934" i="1"/>
  <c r="I1934" i="1"/>
  <c r="J1934" i="1"/>
  <c r="A1935" i="1"/>
  <c r="B1935" i="1"/>
  <c r="C1935" i="1"/>
  <c r="D1935" i="1"/>
  <c r="E1935" i="1" s="1"/>
  <c r="I1935" i="1"/>
  <c r="J1935" i="1"/>
  <c r="A1936" i="1"/>
  <c r="B1936" i="1"/>
  <c r="C1936" i="1"/>
  <c r="D1936" i="1"/>
  <c r="E1936" i="1" s="1"/>
  <c r="I1936" i="1"/>
  <c r="J1936" i="1"/>
  <c r="A1937" i="1"/>
  <c r="B1937" i="1"/>
  <c r="C1937" i="1"/>
  <c r="D1937" i="1"/>
  <c r="E1937" i="1"/>
  <c r="I1937" i="1"/>
  <c r="J1937" i="1"/>
  <c r="A1938" i="1"/>
  <c r="B1938" i="1"/>
  <c r="C1938" i="1"/>
  <c r="D1938" i="1"/>
  <c r="E1938" i="1" s="1"/>
  <c r="I1938" i="1"/>
  <c r="J1938" i="1"/>
  <c r="A1939" i="1"/>
  <c r="B1939" i="1"/>
  <c r="C1939" i="1"/>
  <c r="D1939" i="1"/>
  <c r="I1939" i="1"/>
  <c r="J1939" i="1"/>
  <c r="A1940" i="1"/>
  <c r="B1940" i="1"/>
  <c r="C1940" i="1"/>
  <c r="D1940" i="1"/>
  <c r="E1940" i="1"/>
  <c r="I1940" i="1"/>
  <c r="J1940" i="1"/>
  <c r="A1941" i="1"/>
  <c r="B1941" i="1"/>
  <c r="C1941" i="1"/>
  <c r="D1941" i="1"/>
  <c r="E1941" i="1" s="1"/>
  <c r="I1941" i="1"/>
  <c r="J1941" i="1"/>
  <c r="A1942" i="1"/>
  <c r="B1942" i="1"/>
  <c r="C1942" i="1"/>
  <c r="D1942" i="1"/>
  <c r="E1942" i="1" s="1"/>
  <c r="I1942" i="1"/>
  <c r="J1942" i="1"/>
  <c r="A1943" i="1"/>
  <c r="B1943" i="1"/>
  <c r="C1943" i="1"/>
  <c r="D1943" i="1"/>
  <c r="I1943" i="1"/>
  <c r="J1943" i="1"/>
  <c r="A1944" i="1"/>
  <c r="B1944" i="1"/>
  <c r="C1944" i="1"/>
  <c r="D1944" i="1"/>
  <c r="I1944" i="1"/>
  <c r="J1944" i="1"/>
  <c r="A1945" i="1"/>
  <c r="B1945" i="1"/>
  <c r="C1945" i="1"/>
  <c r="D1945" i="1"/>
  <c r="I1945" i="1"/>
  <c r="J1945" i="1"/>
  <c r="A1946" i="1"/>
  <c r="B1946" i="1"/>
  <c r="C1946" i="1"/>
  <c r="D1946" i="1"/>
  <c r="E1946" i="1" s="1"/>
  <c r="I1946" i="1"/>
  <c r="J1946" i="1"/>
  <c r="A1947" i="1"/>
  <c r="B1947" i="1"/>
  <c r="C1947" i="1"/>
  <c r="D1947" i="1"/>
  <c r="I1947" i="1"/>
  <c r="J1947" i="1"/>
  <c r="A1948" i="1"/>
  <c r="B1948" i="1"/>
  <c r="C1948" i="1"/>
  <c r="D1948" i="1"/>
  <c r="E1948" i="1" s="1"/>
  <c r="I1948" i="1"/>
  <c r="J1948" i="1"/>
  <c r="A1949" i="1"/>
  <c r="B1949" i="1"/>
  <c r="C1949" i="1"/>
  <c r="D1949" i="1"/>
  <c r="E1949" i="1" s="1"/>
  <c r="I1949" i="1"/>
  <c r="J1949" i="1"/>
  <c r="A1950" i="1"/>
  <c r="B1950" i="1"/>
  <c r="C1950" i="1"/>
  <c r="D1950" i="1"/>
  <c r="E1950" i="1" s="1"/>
  <c r="I1950" i="1"/>
  <c r="J1950" i="1"/>
  <c r="A1951" i="1"/>
  <c r="B1951" i="1"/>
  <c r="C1951" i="1"/>
  <c r="D1951" i="1"/>
  <c r="I1951" i="1"/>
  <c r="J1951" i="1"/>
  <c r="A1952" i="1"/>
  <c r="B1952" i="1"/>
  <c r="C1952" i="1"/>
  <c r="D1952" i="1"/>
  <c r="I1952" i="1"/>
  <c r="J1952" i="1"/>
  <c r="A1953" i="1"/>
  <c r="B1953" i="1"/>
  <c r="C1953" i="1"/>
  <c r="D1953" i="1"/>
  <c r="I1953" i="1"/>
  <c r="J1953" i="1"/>
  <c r="A1954" i="1"/>
  <c r="B1954" i="1"/>
  <c r="C1954" i="1"/>
  <c r="D1954" i="1"/>
  <c r="E1954" i="1" s="1"/>
  <c r="I1954" i="1"/>
  <c r="J1954" i="1"/>
  <c r="A1955" i="1"/>
  <c r="B1955" i="1"/>
  <c r="C1955" i="1"/>
  <c r="D1955" i="1"/>
  <c r="I1955" i="1"/>
  <c r="J1955" i="1"/>
  <c r="A1956" i="1"/>
  <c r="B1956" i="1"/>
  <c r="C1956" i="1"/>
  <c r="D1956" i="1"/>
  <c r="I1956" i="1"/>
  <c r="J1956" i="1"/>
  <c r="A1957" i="1"/>
  <c r="B1957" i="1"/>
  <c r="C1957" i="1"/>
  <c r="D1957" i="1"/>
  <c r="I1957" i="1"/>
  <c r="J1957" i="1"/>
  <c r="A1958" i="1"/>
  <c r="B1958" i="1"/>
  <c r="C1958" i="1"/>
  <c r="D1958" i="1"/>
  <c r="I1958" i="1"/>
  <c r="J1958" i="1"/>
  <c r="A1959" i="1"/>
  <c r="B1959" i="1"/>
  <c r="C1959" i="1"/>
  <c r="D1959" i="1"/>
  <c r="I1959" i="1"/>
  <c r="J1959" i="1"/>
  <c r="A1960" i="1"/>
  <c r="B1960" i="1"/>
  <c r="C1960" i="1"/>
  <c r="D1960" i="1"/>
  <c r="I1960" i="1"/>
  <c r="J1960" i="1"/>
  <c r="A1961" i="1"/>
  <c r="B1961" i="1"/>
  <c r="C1961" i="1"/>
  <c r="D1961" i="1"/>
  <c r="I1961" i="1"/>
  <c r="J1961" i="1"/>
  <c r="A1962" i="1"/>
  <c r="B1962" i="1"/>
  <c r="C1962" i="1"/>
  <c r="D1962" i="1"/>
  <c r="I1962" i="1"/>
  <c r="J1962" i="1"/>
  <c r="A1963" i="1"/>
  <c r="B1963" i="1"/>
  <c r="C1963" i="1"/>
  <c r="D1963" i="1"/>
  <c r="I1963" i="1"/>
  <c r="J1963" i="1"/>
  <c r="A1964" i="1"/>
  <c r="B1964" i="1"/>
  <c r="C1964" i="1"/>
  <c r="D1964" i="1"/>
  <c r="I1964" i="1"/>
  <c r="J1964" i="1"/>
  <c r="A1965" i="1"/>
  <c r="B1965" i="1"/>
  <c r="C1965" i="1"/>
  <c r="D1965" i="1"/>
  <c r="I1965" i="1"/>
  <c r="J1965" i="1"/>
  <c r="A1966" i="1"/>
  <c r="B1966" i="1"/>
  <c r="C1966" i="1"/>
  <c r="D1966" i="1"/>
  <c r="I1966" i="1"/>
  <c r="J1966" i="1"/>
  <c r="A1967" i="1"/>
  <c r="B1967" i="1"/>
  <c r="C1967" i="1"/>
  <c r="D1967" i="1"/>
  <c r="I1967" i="1"/>
  <c r="J1967" i="1"/>
  <c r="A1968" i="1"/>
  <c r="B1968" i="1"/>
  <c r="C1968" i="1"/>
  <c r="D1968" i="1"/>
  <c r="I1968" i="1"/>
  <c r="J1968" i="1"/>
  <c r="A1969" i="1"/>
  <c r="B1969" i="1"/>
  <c r="C1969" i="1"/>
  <c r="D1969" i="1"/>
  <c r="I1969" i="1"/>
  <c r="J1969" i="1"/>
  <c r="A1970" i="1"/>
  <c r="B1970" i="1"/>
  <c r="C1970" i="1"/>
  <c r="D1970" i="1"/>
  <c r="I1970" i="1"/>
  <c r="J1970" i="1"/>
  <c r="A1971" i="1"/>
  <c r="B1971" i="1"/>
  <c r="C1971" i="1"/>
  <c r="D1971" i="1"/>
  <c r="I1971" i="1"/>
  <c r="J1971" i="1"/>
  <c r="A1972" i="1"/>
  <c r="B1972" i="1"/>
  <c r="C1972" i="1"/>
  <c r="D1972" i="1"/>
  <c r="I1972" i="1"/>
  <c r="J1972" i="1"/>
  <c r="A1973" i="1"/>
  <c r="B1973" i="1"/>
  <c r="C1973" i="1"/>
  <c r="D1973" i="1"/>
  <c r="I1973" i="1"/>
  <c r="J1973" i="1"/>
  <c r="A1974" i="1"/>
  <c r="B1974" i="1"/>
  <c r="C1974" i="1"/>
  <c r="D1974" i="1"/>
  <c r="I1974" i="1"/>
  <c r="J1974" i="1"/>
  <c r="A1975" i="1"/>
  <c r="B1975" i="1"/>
  <c r="C1975" i="1"/>
  <c r="D1975" i="1"/>
  <c r="I1975" i="1"/>
  <c r="J1975" i="1"/>
  <c r="A1976" i="1"/>
  <c r="B1976" i="1"/>
  <c r="C1976" i="1"/>
  <c r="D1976" i="1"/>
  <c r="I1976" i="1"/>
  <c r="J1976" i="1"/>
  <c r="A1977" i="1"/>
  <c r="B1977" i="1"/>
  <c r="C1977" i="1"/>
  <c r="D1977" i="1"/>
  <c r="I1977" i="1"/>
  <c r="J1977" i="1"/>
  <c r="A1978" i="1"/>
  <c r="B1978" i="1"/>
  <c r="C1978" i="1"/>
  <c r="D1978" i="1"/>
  <c r="I1978" i="1"/>
  <c r="J1978" i="1"/>
  <c r="A1979" i="1"/>
  <c r="B1979" i="1"/>
  <c r="C1979" i="1"/>
  <c r="D1979" i="1"/>
  <c r="I1979" i="1"/>
  <c r="J1979" i="1"/>
  <c r="A1980" i="1"/>
  <c r="B1980" i="1"/>
  <c r="C1980" i="1"/>
  <c r="D1980" i="1"/>
  <c r="I1980" i="1"/>
  <c r="J1980" i="1"/>
  <c r="A1981" i="1"/>
  <c r="B1981" i="1"/>
  <c r="C1981" i="1"/>
  <c r="D1981" i="1"/>
  <c r="I1981" i="1"/>
  <c r="J1981" i="1"/>
  <c r="A1982" i="1"/>
  <c r="B1982" i="1"/>
  <c r="C1982" i="1"/>
  <c r="D1982" i="1"/>
  <c r="I1982" i="1"/>
  <c r="J1982" i="1"/>
  <c r="A1983" i="1"/>
  <c r="B1983" i="1"/>
  <c r="C1983" i="1"/>
  <c r="D1983" i="1"/>
  <c r="I1983" i="1"/>
  <c r="J1983" i="1"/>
  <c r="A1984" i="1"/>
  <c r="B1984" i="1"/>
  <c r="C1984" i="1"/>
  <c r="D1984" i="1"/>
  <c r="I1984" i="1"/>
  <c r="J1984" i="1"/>
  <c r="A1985" i="1"/>
  <c r="B1985" i="1"/>
  <c r="C1985" i="1"/>
  <c r="D1985" i="1"/>
  <c r="I1985" i="1"/>
  <c r="J1985" i="1"/>
  <c r="A1986" i="1"/>
  <c r="B1986" i="1"/>
  <c r="C1986" i="1"/>
  <c r="D1986" i="1"/>
  <c r="I1986" i="1"/>
  <c r="J1986" i="1"/>
  <c r="A1987" i="1"/>
  <c r="B1987" i="1"/>
  <c r="C1987" i="1"/>
  <c r="D1987" i="1"/>
  <c r="I1987" i="1"/>
  <c r="J1987" i="1"/>
  <c r="A1988" i="1"/>
  <c r="B1988" i="1"/>
  <c r="C1988" i="1"/>
  <c r="D1988" i="1"/>
  <c r="I1988" i="1"/>
  <c r="J1988" i="1"/>
  <c r="A1989" i="1"/>
  <c r="B1989" i="1"/>
  <c r="C1989" i="1"/>
  <c r="D1989" i="1"/>
  <c r="I1989" i="1"/>
  <c r="J1989" i="1"/>
  <c r="A1990" i="1"/>
  <c r="B1990" i="1"/>
  <c r="C1990" i="1"/>
  <c r="D1990" i="1"/>
  <c r="I1990" i="1"/>
  <c r="J1990" i="1"/>
  <c r="A1991" i="1"/>
  <c r="B1991" i="1"/>
  <c r="C1991" i="1"/>
  <c r="D1991" i="1"/>
  <c r="I1991" i="1"/>
  <c r="J1991" i="1"/>
  <c r="A1992" i="1"/>
  <c r="B1992" i="1"/>
  <c r="C1992" i="1"/>
  <c r="D1992" i="1"/>
  <c r="I1992" i="1"/>
  <c r="J1992" i="1"/>
  <c r="A1993" i="1"/>
  <c r="B1993" i="1"/>
  <c r="C1993" i="1"/>
  <c r="E1993" i="1"/>
  <c r="I1993" i="1"/>
  <c r="J1993" i="1"/>
  <c r="A1994" i="1"/>
  <c r="B1994" i="1"/>
  <c r="C1994" i="1"/>
  <c r="D1994" i="1"/>
  <c r="E1994" i="1" s="1"/>
  <c r="I1994" i="1"/>
  <c r="J1994" i="1"/>
  <c r="A1995" i="1"/>
  <c r="B1995" i="1"/>
  <c r="C1995" i="1"/>
  <c r="D1995" i="1"/>
  <c r="E1995" i="1" s="1"/>
  <c r="I1995" i="1"/>
  <c r="J1995" i="1"/>
  <c r="A1996" i="1"/>
  <c r="B1996" i="1"/>
  <c r="C1996" i="1"/>
  <c r="D1996" i="1"/>
  <c r="E1996" i="1" s="1"/>
  <c r="I1996" i="1"/>
  <c r="J1996" i="1"/>
  <c r="A1997" i="1"/>
  <c r="B1997" i="1"/>
  <c r="C1997" i="1"/>
  <c r="D1997" i="1"/>
  <c r="E1997" i="1" s="1"/>
  <c r="I1997" i="1"/>
  <c r="J1997" i="1"/>
  <c r="A1998" i="1"/>
  <c r="B1998" i="1"/>
  <c r="C1998" i="1"/>
  <c r="D1998" i="1"/>
  <c r="E1998" i="1"/>
  <c r="I1998" i="1"/>
  <c r="J1998" i="1"/>
  <c r="A1999" i="1"/>
  <c r="B1999" i="1"/>
  <c r="C1999" i="1"/>
  <c r="D1999" i="1"/>
  <c r="E1999" i="1" s="1"/>
  <c r="I1999" i="1"/>
  <c r="J1999" i="1"/>
  <c r="A2000" i="1"/>
  <c r="B2000" i="1"/>
  <c r="C2000" i="1"/>
  <c r="D2000" i="1"/>
  <c r="E2000" i="1" s="1"/>
  <c r="I2000" i="1"/>
  <c r="J2000" i="1"/>
  <c r="A2001" i="1"/>
  <c r="B2001" i="1"/>
  <c r="C2001" i="1"/>
  <c r="D2001" i="1"/>
  <c r="E2001" i="1"/>
  <c r="I2001" i="1"/>
  <c r="J2001" i="1"/>
  <c r="A2002" i="1"/>
  <c r="B2002" i="1"/>
  <c r="C2002" i="1"/>
  <c r="D2002" i="1"/>
  <c r="E2002" i="1" s="1"/>
  <c r="I2002" i="1"/>
  <c r="J2002" i="1"/>
  <c r="A2003" i="1"/>
  <c r="B2003" i="1"/>
  <c r="C2003" i="1"/>
  <c r="D2003" i="1"/>
  <c r="E2003" i="1" s="1"/>
  <c r="I2003" i="1"/>
  <c r="J2003" i="1"/>
  <c r="A2004" i="1"/>
  <c r="B2004" i="1"/>
  <c r="C2004" i="1"/>
  <c r="D2004" i="1"/>
  <c r="E2004" i="1" s="1"/>
  <c r="I2004" i="1"/>
  <c r="J2004" i="1"/>
  <c r="A2005" i="1"/>
  <c r="B2005" i="1"/>
  <c r="C2005" i="1"/>
  <c r="D2005" i="1"/>
  <c r="E2005" i="1"/>
  <c r="I2005" i="1"/>
  <c r="J2005" i="1"/>
  <c r="A2006" i="1"/>
  <c r="B2006" i="1"/>
  <c r="C2006" i="1"/>
  <c r="D2006" i="1"/>
  <c r="E2006" i="1" s="1"/>
  <c r="I2006" i="1"/>
  <c r="J2006" i="1"/>
  <c r="A2007" i="1"/>
  <c r="B2007" i="1"/>
  <c r="C2007" i="1"/>
  <c r="D2007" i="1"/>
  <c r="E2007" i="1" s="1"/>
  <c r="I2007" i="1"/>
  <c r="J2007" i="1"/>
  <c r="A2008" i="1"/>
  <c r="B2008" i="1"/>
  <c r="C2008" i="1"/>
  <c r="D2008" i="1"/>
  <c r="E2008" i="1" s="1"/>
  <c r="I2008" i="1"/>
  <c r="J2008" i="1"/>
  <c r="A2009" i="1"/>
  <c r="B2009" i="1"/>
  <c r="C2009" i="1"/>
  <c r="D2009" i="1"/>
  <c r="E2009" i="1"/>
  <c r="I2009" i="1"/>
  <c r="J2009" i="1"/>
  <c r="A2010" i="1"/>
  <c r="B2010" i="1"/>
  <c r="C2010" i="1"/>
  <c r="D2010" i="1"/>
  <c r="E2010" i="1" s="1"/>
  <c r="I2010" i="1"/>
  <c r="J2010" i="1"/>
  <c r="A2011" i="1"/>
  <c r="B2011" i="1"/>
  <c r="C2011" i="1"/>
  <c r="D2011" i="1"/>
  <c r="E2011" i="1" s="1"/>
  <c r="I2011" i="1"/>
  <c r="J2011" i="1"/>
  <c r="A2012" i="1"/>
  <c r="B2012" i="1"/>
  <c r="C2012" i="1"/>
  <c r="D2012" i="1"/>
  <c r="E2012" i="1" s="1"/>
  <c r="I2012" i="1"/>
  <c r="J2012" i="1"/>
  <c r="A2013" i="1"/>
  <c r="B2013" i="1"/>
  <c r="C2013" i="1"/>
  <c r="D2013" i="1"/>
  <c r="E2013" i="1" s="1"/>
  <c r="I2013" i="1"/>
  <c r="J2013" i="1"/>
  <c r="A2014" i="1"/>
  <c r="B2014" i="1"/>
  <c r="C2014" i="1"/>
  <c r="D2014" i="1"/>
  <c r="E2014" i="1"/>
  <c r="I2014" i="1"/>
  <c r="J2014" i="1"/>
  <c r="A2015" i="1"/>
  <c r="B2015" i="1"/>
  <c r="C2015" i="1"/>
  <c r="D2015" i="1"/>
  <c r="E2015" i="1" s="1"/>
  <c r="I2015" i="1"/>
  <c r="J2015" i="1"/>
  <c r="A2016" i="1"/>
  <c r="B2016" i="1"/>
  <c r="C2016" i="1"/>
  <c r="D2016" i="1"/>
  <c r="E2016" i="1" s="1"/>
  <c r="I2016" i="1"/>
  <c r="J2016" i="1"/>
  <c r="A2017" i="1"/>
  <c r="B2017" i="1"/>
  <c r="C2017" i="1"/>
  <c r="D2017" i="1"/>
  <c r="E2017" i="1"/>
  <c r="I2017" i="1"/>
  <c r="J2017" i="1"/>
  <c r="A2018" i="1"/>
  <c r="B2018" i="1"/>
  <c r="C2018" i="1"/>
  <c r="D2018" i="1"/>
  <c r="E2018" i="1" s="1"/>
  <c r="I2018" i="1"/>
  <c r="J2018" i="1"/>
  <c r="A2019" i="1"/>
  <c r="B2019" i="1"/>
  <c r="C2019" i="1"/>
  <c r="D2019" i="1"/>
  <c r="E2019" i="1" s="1"/>
  <c r="I2019" i="1"/>
  <c r="J2019" i="1"/>
  <c r="A2020" i="1"/>
  <c r="B2020" i="1"/>
  <c r="C2020" i="1"/>
  <c r="D2020" i="1"/>
  <c r="E2020" i="1" s="1"/>
  <c r="I2020" i="1"/>
  <c r="J2020" i="1"/>
  <c r="A2021" i="1"/>
  <c r="B2021" i="1"/>
  <c r="C2021" i="1"/>
  <c r="D2021" i="1"/>
  <c r="E2021" i="1"/>
  <c r="I2021" i="1"/>
  <c r="J2021" i="1"/>
  <c r="A2022" i="1"/>
  <c r="B2022" i="1"/>
  <c r="C2022" i="1"/>
  <c r="D2022" i="1"/>
  <c r="E2022" i="1" s="1"/>
  <c r="I2022" i="1"/>
  <c r="J2022" i="1"/>
  <c r="A2023" i="1"/>
  <c r="B2023" i="1"/>
  <c r="C2023" i="1"/>
  <c r="D2023" i="1"/>
  <c r="E2023" i="1" s="1"/>
  <c r="I2023" i="1"/>
  <c r="J2023" i="1"/>
  <c r="A2024" i="1"/>
  <c r="B2024" i="1"/>
  <c r="C2024" i="1"/>
  <c r="D2024" i="1"/>
  <c r="E2024" i="1" s="1"/>
  <c r="I2024" i="1"/>
  <c r="J2024" i="1"/>
  <c r="A2025" i="1"/>
  <c r="B2025" i="1"/>
  <c r="C2025" i="1"/>
  <c r="D2025" i="1"/>
  <c r="E2025" i="1"/>
  <c r="I2025" i="1"/>
  <c r="J2025" i="1"/>
  <c r="A2026" i="1"/>
  <c r="B2026" i="1"/>
  <c r="C2026" i="1"/>
  <c r="D2026" i="1"/>
  <c r="E2026" i="1" s="1"/>
  <c r="I2026" i="1"/>
  <c r="J2026" i="1"/>
  <c r="A2027" i="1"/>
  <c r="B2027" i="1"/>
  <c r="C2027" i="1"/>
  <c r="D2027" i="1"/>
  <c r="E2027" i="1" s="1"/>
  <c r="I2027" i="1"/>
  <c r="J2027" i="1"/>
  <c r="A2028" i="1"/>
  <c r="B2028" i="1"/>
  <c r="C2028" i="1"/>
  <c r="D2028" i="1"/>
  <c r="E2028" i="1" s="1"/>
  <c r="I2028" i="1"/>
  <c r="J2028" i="1"/>
  <c r="A2029" i="1"/>
  <c r="B2029" i="1"/>
  <c r="C2029" i="1"/>
  <c r="D2029" i="1"/>
  <c r="E2029" i="1" s="1"/>
  <c r="I2029" i="1"/>
  <c r="J2029" i="1"/>
  <c r="A2030" i="1"/>
  <c r="B2030" i="1"/>
  <c r="C2030" i="1"/>
  <c r="D2030" i="1"/>
  <c r="E2030" i="1"/>
  <c r="I2030" i="1"/>
  <c r="J2030" i="1"/>
  <c r="A2031" i="1"/>
  <c r="B2031" i="1"/>
  <c r="C2031" i="1"/>
  <c r="D2031" i="1"/>
  <c r="E2031" i="1" s="1"/>
  <c r="I2031" i="1"/>
  <c r="J2031" i="1"/>
  <c r="A2032" i="1"/>
  <c r="B2032" i="1"/>
  <c r="C2032" i="1"/>
  <c r="D2032" i="1"/>
  <c r="E2032" i="1" s="1"/>
  <c r="I2032" i="1"/>
  <c r="J2032" i="1"/>
  <c r="A2033" i="1"/>
  <c r="B2033" i="1"/>
  <c r="C2033" i="1"/>
  <c r="D2033" i="1"/>
  <c r="E2033" i="1"/>
  <c r="I2033" i="1"/>
  <c r="J2033" i="1"/>
  <c r="A2034" i="1"/>
  <c r="B2034" i="1"/>
  <c r="C2034" i="1"/>
  <c r="D2034" i="1"/>
  <c r="E2034" i="1"/>
  <c r="I2034" i="1"/>
  <c r="J2034" i="1"/>
  <c r="A2035" i="1"/>
  <c r="B2035" i="1"/>
  <c r="C2035" i="1"/>
  <c r="D2035" i="1"/>
  <c r="E2035" i="1" s="1"/>
  <c r="I2035" i="1"/>
  <c r="J2035" i="1"/>
  <c r="A2036" i="1"/>
  <c r="B2036" i="1"/>
  <c r="C2036" i="1"/>
  <c r="D2036" i="1"/>
  <c r="E2036" i="1" s="1"/>
  <c r="I2036" i="1"/>
  <c r="J2036" i="1"/>
  <c r="A2037" i="1"/>
  <c r="B2037" i="1"/>
  <c r="C2037" i="1"/>
  <c r="D2037" i="1"/>
  <c r="E2037" i="1"/>
  <c r="I2037" i="1"/>
  <c r="J2037" i="1"/>
  <c r="A2038" i="1"/>
  <c r="B2038" i="1"/>
  <c r="C2038" i="1"/>
  <c r="D2038" i="1"/>
  <c r="E2038" i="1" s="1"/>
  <c r="I2038" i="1"/>
  <c r="J2038" i="1"/>
  <c r="A2039" i="1"/>
  <c r="B2039" i="1"/>
  <c r="C2039" i="1"/>
  <c r="D2039" i="1"/>
  <c r="E2039" i="1" s="1"/>
  <c r="I2039" i="1"/>
  <c r="J2039" i="1"/>
  <c r="A2040" i="1"/>
  <c r="B2040" i="1"/>
  <c r="C2040" i="1"/>
  <c r="D2040" i="1"/>
  <c r="E2040" i="1" s="1"/>
  <c r="I2040" i="1"/>
  <c r="J2040" i="1"/>
  <c r="A2041" i="1"/>
  <c r="B2041" i="1"/>
  <c r="C2041" i="1"/>
  <c r="D2041" i="1"/>
  <c r="E2041" i="1"/>
  <c r="I2041" i="1"/>
  <c r="J2041" i="1"/>
  <c r="A2042" i="1"/>
  <c r="B2042" i="1"/>
  <c r="C2042" i="1"/>
  <c r="D2042" i="1"/>
  <c r="E2042" i="1" s="1"/>
  <c r="I2042" i="1"/>
  <c r="J2042" i="1"/>
  <c r="A2043" i="1"/>
  <c r="B2043" i="1"/>
  <c r="C2043" i="1"/>
  <c r="D2043" i="1"/>
  <c r="E2043" i="1" s="1"/>
  <c r="I2043" i="1"/>
  <c r="J2043" i="1"/>
  <c r="A2044" i="1"/>
  <c r="B2044" i="1"/>
  <c r="C2044" i="1"/>
  <c r="D2044" i="1"/>
  <c r="I2044" i="1"/>
  <c r="J2044" i="1"/>
  <c r="A2045" i="1"/>
  <c r="B2045" i="1"/>
  <c r="C2045" i="1"/>
  <c r="D2045" i="1"/>
  <c r="I2045" i="1"/>
  <c r="J2045" i="1"/>
  <c r="A2046" i="1"/>
  <c r="B2046" i="1"/>
  <c r="C2046" i="1"/>
  <c r="D2046" i="1"/>
  <c r="I2046" i="1"/>
  <c r="J2046" i="1"/>
  <c r="A2047" i="1"/>
  <c r="B2047" i="1"/>
  <c r="C2047" i="1"/>
  <c r="D2047" i="1"/>
  <c r="E2047" i="1"/>
  <c r="I2047" i="1"/>
  <c r="J2047" i="1"/>
  <c r="A2048" i="1"/>
  <c r="B2048" i="1"/>
  <c r="C2048" i="1"/>
  <c r="D2048" i="1"/>
  <c r="I2048" i="1"/>
  <c r="J2048" i="1"/>
  <c r="A2049" i="1"/>
  <c r="B2049" i="1"/>
  <c r="C2049" i="1"/>
  <c r="D2049" i="1"/>
  <c r="E2049" i="1"/>
  <c r="I2049" i="1"/>
  <c r="J2049" i="1"/>
  <c r="A2050" i="1"/>
  <c r="B2050" i="1"/>
  <c r="C2050" i="1"/>
  <c r="D2050" i="1"/>
  <c r="I2050" i="1"/>
  <c r="J2050" i="1"/>
  <c r="A2051" i="1"/>
  <c r="B2051" i="1"/>
  <c r="C2051" i="1"/>
  <c r="D2051" i="1"/>
  <c r="E2051" i="1" s="1"/>
  <c r="I2051" i="1"/>
  <c r="J2051" i="1"/>
  <c r="A2052" i="1"/>
  <c r="B2052" i="1"/>
  <c r="C2052" i="1"/>
  <c r="D2052" i="1"/>
  <c r="I2052" i="1"/>
  <c r="J2052" i="1"/>
  <c r="A2053" i="1"/>
  <c r="B2053" i="1"/>
  <c r="C2053" i="1"/>
  <c r="D2053" i="1"/>
  <c r="E2053" i="1" s="1"/>
  <c r="I2053" i="1"/>
  <c r="J2053" i="1"/>
  <c r="A2054" i="1"/>
  <c r="B2054" i="1"/>
  <c r="C2054" i="1"/>
  <c r="D2054" i="1"/>
  <c r="I2054" i="1"/>
  <c r="J2054" i="1"/>
  <c r="A2055" i="1"/>
  <c r="B2055" i="1"/>
  <c r="C2055" i="1"/>
  <c r="D2055" i="1"/>
  <c r="E2055" i="1"/>
  <c r="I2055" i="1"/>
  <c r="J2055" i="1"/>
  <c r="A2056" i="1"/>
  <c r="B2056" i="1"/>
  <c r="C2056" i="1"/>
  <c r="D2056" i="1"/>
  <c r="I2056" i="1"/>
  <c r="J2056" i="1"/>
  <c r="A2057" i="1"/>
  <c r="B2057" i="1"/>
  <c r="C2057" i="1"/>
  <c r="D2057" i="1"/>
  <c r="E2057" i="1" s="1"/>
  <c r="I2057" i="1"/>
  <c r="J2057" i="1"/>
  <c r="A2058" i="1"/>
  <c r="B2058" i="1"/>
  <c r="C2058" i="1"/>
  <c r="D2058" i="1"/>
  <c r="I2058" i="1"/>
  <c r="J2058" i="1"/>
  <c r="A2059" i="1"/>
  <c r="B2059" i="1"/>
  <c r="C2059" i="1"/>
  <c r="D2059" i="1"/>
  <c r="E2059" i="1" s="1"/>
  <c r="I2059" i="1"/>
  <c r="J2059" i="1"/>
  <c r="A2060" i="1"/>
  <c r="B2060" i="1"/>
  <c r="C2060" i="1"/>
  <c r="D2060" i="1"/>
  <c r="I2060" i="1"/>
  <c r="J2060" i="1"/>
  <c r="A2061" i="1"/>
  <c r="B2061" i="1"/>
  <c r="C2061" i="1"/>
  <c r="D2061" i="1"/>
  <c r="E2061" i="1" s="1"/>
  <c r="I2061" i="1"/>
  <c r="J2061" i="1"/>
  <c r="A2062" i="1"/>
  <c r="B2062" i="1"/>
  <c r="C2062" i="1"/>
  <c r="D2062" i="1"/>
  <c r="I2062" i="1"/>
  <c r="J2062" i="1"/>
  <c r="A2063" i="1"/>
  <c r="B2063" i="1"/>
  <c r="C2063" i="1"/>
  <c r="D2063" i="1"/>
  <c r="E2063" i="1" s="1"/>
  <c r="I2063" i="1"/>
  <c r="J2063" i="1"/>
  <c r="A2064" i="1"/>
  <c r="B2064" i="1"/>
  <c r="C2064" i="1"/>
  <c r="D2064" i="1"/>
  <c r="I2064" i="1"/>
  <c r="J2064" i="1"/>
  <c r="A2065" i="1"/>
  <c r="B2065" i="1"/>
  <c r="C2065" i="1"/>
  <c r="D2065" i="1"/>
  <c r="E2065" i="1" s="1"/>
  <c r="I2065" i="1"/>
  <c r="J2065" i="1"/>
  <c r="A2066" i="1"/>
  <c r="B2066" i="1"/>
  <c r="C2066" i="1"/>
  <c r="D2066" i="1"/>
  <c r="I2066" i="1"/>
  <c r="J2066" i="1"/>
  <c r="A2067" i="1"/>
  <c r="B2067" i="1"/>
  <c r="C2067" i="1"/>
  <c r="D2067" i="1"/>
  <c r="E2067" i="1" s="1"/>
  <c r="I2067" i="1"/>
  <c r="J2067" i="1"/>
  <c r="A2068" i="1"/>
  <c r="B2068" i="1"/>
  <c r="C2068" i="1"/>
  <c r="D2068" i="1"/>
  <c r="I2068" i="1"/>
  <c r="J2068" i="1"/>
  <c r="A2069" i="1"/>
  <c r="B2069" i="1"/>
  <c r="C2069" i="1"/>
  <c r="D2069" i="1"/>
  <c r="E2069" i="1" s="1"/>
  <c r="I2069" i="1"/>
  <c r="J2069" i="1"/>
  <c r="A2070" i="1"/>
  <c r="B2070" i="1"/>
  <c r="C2070" i="1"/>
  <c r="D2070" i="1"/>
  <c r="I2070" i="1"/>
  <c r="J2070" i="1"/>
  <c r="A2071" i="1"/>
  <c r="B2071" i="1"/>
  <c r="C2071" i="1"/>
  <c r="D2071" i="1"/>
  <c r="E2071" i="1"/>
  <c r="I2071" i="1"/>
  <c r="J2071" i="1"/>
  <c r="A2072" i="1"/>
  <c r="B2072" i="1"/>
  <c r="C2072" i="1"/>
  <c r="D2072" i="1"/>
  <c r="I2072" i="1"/>
  <c r="J2072" i="1"/>
  <c r="A2073" i="1"/>
  <c r="B2073" i="1"/>
  <c r="C2073" i="1"/>
  <c r="D2073" i="1"/>
  <c r="E2073" i="1"/>
  <c r="I2073" i="1"/>
  <c r="J2073" i="1"/>
  <c r="A2074" i="1"/>
  <c r="B2074" i="1"/>
  <c r="C2074" i="1"/>
  <c r="D2074" i="1"/>
  <c r="I2074" i="1"/>
  <c r="J2074" i="1"/>
  <c r="A2075" i="1"/>
  <c r="B2075" i="1"/>
  <c r="C2075" i="1"/>
  <c r="D2075" i="1"/>
  <c r="E2075" i="1" s="1"/>
  <c r="I2075" i="1"/>
  <c r="J2075" i="1"/>
  <c r="A2076" i="1"/>
  <c r="B2076" i="1"/>
  <c r="C2076" i="1"/>
  <c r="D2076" i="1"/>
  <c r="I2076" i="1"/>
  <c r="J2076" i="1"/>
  <c r="A2077" i="1"/>
  <c r="B2077" i="1"/>
  <c r="C2077" i="1"/>
  <c r="D2077" i="1"/>
  <c r="E2077" i="1" s="1"/>
  <c r="I2077" i="1"/>
  <c r="J2077" i="1"/>
  <c r="A2078" i="1"/>
  <c r="B2078" i="1"/>
  <c r="C2078" i="1"/>
  <c r="D2078" i="1"/>
  <c r="I2078" i="1"/>
  <c r="J2078" i="1"/>
  <c r="A2079" i="1"/>
  <c r="B2079" i="1"/>
  <c r="C2079" i="1"/>
  <c r="D2079" i="1"/>
  <c r="E2079" i="1"/>
  <c r="I2079" i="1"/>
  <c r="J2079" i="1"/>
  <c r="A2080" i="1"/>
  <c r="B2080" i="1"/>
  <c r="C2080" i="1"/>
  <c r="D2080" i="1"/>
  <c r="I2080" i="1"/>
  <c r="J2080" i="1"/>
  <c r="A2081" i="1"/>
  <c r="B2081" i="1"/>
  <c r="C2081" i="1"/>
  <c r="D2081" i="1"/>
  <c r="E2081" i="1"/>
  <c r="I2081" i="1"/>
  <c r="J2081" i="1"/>
  <c r="A2082" i="1"/>
  <c r="B2082" i="1"/>
  <c r="C2082" i="1"/>
  <c r="D2082" i="1"/>
  <c r="I2082" i="1"/>
  <c r="J2082" i="1"/>
  <c r="A2083" i="1"/>
  <c r="B2083" i="1"/>
  <c r="C2083" i="1"/>
  <c r="D2083" i="1"/>
  <c r="E2083" i="1" s="1"/>
  <c r="I2083" i="1"/>
  <c r="J2083" i="1"/>
  <c r="A2084" i="1"/>
  <c r="B2084" i="1"/>
  <c r="C2084" i="1"/>
  <c r="D2084" i="1"/>
  <c r="I2084" i="1"/>
  <c r="J2084" i="1"/>
  <c r="A2085" i="1"/>
  <c r="B2085" i="1"/>
  <c r="C2085" i="1"/>
  <c r="D2085" i="1"/>
  <c r="E2085" i="1" s="1"/>
  <c r="I2085" i="1"/>
  <c r="J2085" i="1"/>
  <c r="A2086" i="1"/>
  <c r="B2086" i="1"/>
  <c r="C2086" i="1"/>
  <c r="D2086" i="1"/>
  <c r="I2086" i="1"/>
  <c r="J2086" i="1"/>
  <c r="A2087" i="1"/>
  <c r="B2087" i="1"/>
  <c r="C2087" i="1"/>
  <c r="D2087" i="1"/>
  <c r="E2087" i="1"/>
  <c r="I2087" i="1"/>
  <c r="J2087" i="1"/>
  <c r="A2088" i="1"/>
  <c r="B2088" i="1"/>
  <c r="C2088" i="1"/>
  <c r="D2088" i="1"/>
  <c r="I2088" i="1"/>
  <c r="J2088" i="1"/>
  <c r="A2089" i="1"/>
  <c r="B2089" i="1"/>
  <c r="C2089" i="1"/>
  <c r="D2089" i="1"/>
  <c r="E2089" i="1" s="1"/>
  <c r="I2089" i="1"/>
  <c r="J2089" i="1"/>
  <c r="A2090" i="1"/>
  <c r="B2090" i="1"/>
  <c r="C2090" i="1"/>
  <c r="D2090" i="1"/>
  <c r="I2090" i="1"/>
  <c r="J2090" i="1"/>
  <c r="A2091" i="1"/>
  <c r="B2091" i="1"/>
  <c r="C2091" i="1"/>
  <c r="D2091" i="1"/>
  <c r="E2091" i="1" s="1"/>
  <c r="I2091" i="1"/>
  <c r="J2091" i="1"/>
  <c r="A2092" i="1"/>
  <c r="B2092" i="1"/>
  <c r="C2092" i="1"/>
  <c r="D2092" i="1"/>
  <c r="I2092" i="1"/>
  <c r="J2092" i="1"/>
  <c r="A2093" i="1"/>
  <c r="B2093" i="1"/>
  <c r="C2093" i="1"/>
  <c r="D2093" i="1"/>
  <c r="E2093" i="1" s="1"/>
  <c r="I2093" i="1"/>
  <c r="J2093" i="1"/>
  <c r="A2094" i="1"/>
  <c r="B2094" i="1"/>
  <c r="C2094" i="1"/>
  <c r="D2094" i="1"/>
  <c r="I2094" i="1"/>
  <c r="J2094" i="1"/>
  <c r="A2095" i="1"/>
  <c r="B2095" i="1"/>
  <c r="C2095" i="1"/>
  <c r="D2095" i="1"/>
  <c r="E2095" i="1" s="1"/>
  <c r="I2095" i="1"/>
  <c r="J2095" i="1"/>
  <c r="A2096" i="1"/>
  <c r="B2096" i="1"/>
  <c r="C2096" i="1"/>
  <c r="D2096" i="1"/>
  <c r="I2096" i="1"/>
  <c r="J2096" i="1"/>
  <c r="A2097" i="1"/>
  <c r="B2097" i="1"/>
  <c r="C2097" i="1"/>
  <c r="D2097" i="1"/>
  <c r="E2097" i="1" s="1"/>
  <c r="I2097" i="1"/>
  <c r="J2097" i="1"/>
  <c r="A2098" i="1"/>
  <c r="B2098" i="1"/>
  <c r="C2098" i="1"/>
  <c r="D2098" i="1"/>
  <c r="I2098" i="1"/>
  <c r="J2098" i="1"/>
  <c r="A2099" i="1"/>
  <c r="B2099" i="1"/>
  <c r="C2099" i="1"/>
  <c r="D2099" i="1"/>
  <c r="E2099" i="1" s="1"/>
  <c r="I2099" i="1"/>
  <c r="J2099" i="1"/>
  <c r="A2100" i="1"/>
  <c r="B2100" i="1"/>
  <c r="C2100" i="1"/>
  <c r="D2100" i="1"/>
  <c r="I2100" i="1"/>
  <c r="J2100" i="1"/>
  <c r="A2101" i="1"/>
  <c r="B2101" i="1"/>
  <c r="C2101" i="1"/>
  <c r="D2101" i="1"/>
  <c r="E2101" i="1" s="1"/>
  <c r="I2101" i="1"/>
  <c r="J2101" i="1"/>
  <c r="A2102" i="1"/>
  <c r="B2102" i="1"/>
  <c r="C2102" i="1"/>
  <c r="D2102" i="1"/>
  <c r="I2102" i="1"/>
  <c r="J2102" i="1"/>
  <c r="A2103" i="1"/>
  <c r="B2103" i="1"/>
  <c r="C2103" i="1"/>
  <c r="D2103" i="1"/>
  <c r="E2103" i="1"/>
  <c r="I2103" i="1"/>
  <c r="J2103" i="1"/>
  <c r="A2104" i="1"/>
  <c r="B2104" i="1"/>
  <c r="C2104" i="1"/>
  <c r="D2104" i="1"/>
  <c r="I2104" i="1"/>
  <c r="J2104" i="1"/>
  <c r="A2105" i="1"/>
  <c r="B2105" i="1"/>
  <c r="C2105" i="1"/>
  <c r="D2105" i="1"/>
  <c r="E2105" i="1"/>
  <c r="I2105" i="1"/>
  <c r="J2105" i="1"/>
  <c r="A2106" i="1"/>
  <c r="B2106" i="1"/>
  <c r="C2106" i="1"/>
  <c r="D2106" i="1"/>
  <c r="I2106" i="1"/>
  <c r="J2106" i="1"/>
  <c r="A2107" i="1"/>
  <c r="B2107" i="1"/>
  <c r="C2107" i="1"/>
  <c r="D2107" i="1"/>
  <c r="E2107" i="1" s="1"/>
  <c r="I2107" i="1"/>
  <c r="J2107" i="1"/>
  <c r="A2108" i="1"/>
  <c r="B2108" i="1"/>
  <c r="C2108" i="1"/>
  <c r="D2108" i="1"/>
  <c r="I2108" i="1"/>
  <c r="J2108" i="1"/>
  <c r="A2109" i="1"/>
  <c r="B2109" i="1"/>
  <c r="C2109" i="1"/>
  <c r="D2109" i="1"/>
  <c r="E2109" i="1" s="1"/>
  <c r="I2109" i="1"/>
  <c r="J2109" i="1"/>
  <c r="A2110" i="1"/>
  <c r="B2110" i="1"/>
  <c r="C2110" i="1"/>
  <c r="D2110" i="1"/>
  <c r="I2110" i="1"/>
  <c r="J2110" i="1"/>
  <c r="A2111" i="1"/>
  <c r="B2111" i="1"/>
  <c r="C2111" i="1"/>
  <c r="D2111" i="1"/>
  <c r="E2111" i="1"/>
  <c r="I2111" i="1"/>
  <c r="J2111" i="1"/>
  <c r="A2112" i="1"/>
  <c r="B2112" i="1"/>
  <c r="C2112" i="1"/>
  <c r="D2112" i="1"/>
  <c r="I2112" i="1"/>
  <c r="J2112" i="1"/>
  <c r="A2113" i="1"/>
  <c r="B2113" i="1"/>
  <c r="C2113" i="1"/>
  <c r="D2113" i="1"/>
  <c r="E2113" i="1"/>
  <c r="I2113" i="1"/>
  <c r="J2113" i="1"/>
  <c r="A2114" i="1"/>
  <c r="B2114" i="1"/>
  <c r="C2114" i="1"/>
  <c r="D2114" i="1"/>
  <c r="I2114" i="1"/>
  <c r="J2114" i="1"/>
  <c r="A2115" i="1"/>
  <c r="B2115" i="1"/>
  <c r="C2115" i="1"/>
  <c r="D2115" i="1"/>
  <c r="E2115" i="1" s="1"/>
  <c r="I2115" i="1"/>
  <c r="J2115" i="1"/>
  <c r="A2116" i="1"/>
  <c r="B2116" i="1"/>
  <c r="C2116" i="1"/>
  <c r="D2116" i="1"/>
  <c r="I2116" i="1"/>
  <c r="J2116" i="1"/>
  <c r="A2117" i="1"/>
  <c r="B2117" i="1"/>
  <c r="C2117" i="1"/>
  <c r="D2117" i="1"/>
  <c r="E2117" i="1" s="1"/>
  <c r="I2117" i="1"/>
  <c r="J2117" i="1"/>
  <c r="A2118" i="1"/>
  <c r="B2118" i="1"/>
  <c r="C2118" i="1"/>
  <c r="D2118" i="1"/>
  <c r="I2118" i="1"/>
  <c r="J2118" i="1"/>
  <c r="A2119" i="1"/>
  <c r="B2119" i="1"/>
  <c r="C2119" i="1"/>
  <c r="D2119" i="1"/>
  <c r="E2119" i="1"/>
  <c r="I2119" i="1"/>
  <c r="J2119" i="1"/>
  <c r="A2120" i="1"/>
  <c r="B2120" i="1"/>
  <c r="C2120" i="1"/>
  <c r="D2120" i="1"/>
  <c r="I2120" i="1"/>
  <c r="J2120" i="1"/>
  <c r="A2121" i="1"/>
  <c r="B2121" i="1"/>
  <c r="C2121" i="1"/>
  <c r="D2121" i="1"/>
  <c r="E2121" i="1" s="1"/>
  <c r="I2121" i="1"/>
  <c r="J2121" i="1"/>
  <c r="A2122" i="1"/>
  <c r="B2122" i="1"/>
  <c r="C2122" i="1"/>
  <c r="D2122" i="1"/>
  <c r="I2122" i="1"/>
  <c r="J2122" i="1"/>
  <c r="A2123" i="1"/>
  <c r="B2123" i="1"/>
  <c r="C2123" i="1"/>
  <c r="D2123" i="1"/>
  <c r="E2123" i="1" s="1"/>
  <c r="I2123" i="1"/>
  <c r="J2123" i="1"/>
  <c r="A2124" i="1"/>
  <c r="B2124" i="1"/>
  <c r="C2124" i="1"/>
  <c r="D2124" i="1"/>
  <c r="I2124" i="1"/>
  <c r="J2124" i="1"/>
  <c r="A2125" i="1"/>
  <c r="B2125" i="1"/>
  <c r="C2125" i="1"/>
  <c r="D2125" i="1"/>
  <c r="E2125" i="1" s="1"/>
  <c r="I2125" i="1"/>
  <c r="J2125" i="1"/>
  <c r="A2126" i="1"/>
  <c r="B2126" i="1"/>
  <c r="C2126" i="1"/>
  <c r="D2126" i="1"/>
  <c r="I2126" i="1"/>
  <c r="J2126" i="1"/>
  <c r="A2127" i="1"/>
  <c r="B2127" i="1"/>
  <c r="C2127" i="1"/>
  <c r="D2127" i="1"/>
  <c r="E2127" i="1" s="1"/>
  <c r="I2127" i="1"/>
  <c r="J2127" i="1"/>
  <c r="A2128" i="1"/>
  <c r="B2128" i="1"/>
  <c r="C2128" i="1"/>
  <c r="D2128" i="1"/>
  <c r="I2128" i="1"/>
  <c r="J2128" i="1"/>
  <c r="A2129" i="1"/>
  <c r="B2129" i="1"/>
  <c r="C2129" i="1"/>
  <c r="D2129" i="1"/>
  <c r="E2129" i="1" s="1"/>
  <c r="I2129" i="1"/>
  <c r="J2129" i="1"/>
  <c r="A2130" i="1"/>
  <c r="B2130" i="1"/>
  <c r="C2130" i="1"/>
  <c r="D2130" i="1"/>
  <c r="I2130" i="1"/>
  <c r="J2130" i="1"/>
  <c r="A2131" i="1"/>
  <c r="B2131" i="1"/>
  <c r="C2131" i="1"/>
  <c r="D2131" i="1"/>
  <c r="E2131" i="1" s="1"/>
  <c r="I2131" i="1"/>
  <c r="J2131" i="1"/>
  <c r="A2132" i="1"/>
  <c r="B2132" i="1"/>
  <c r="C2132" i="1"/>
  <c r="D2132" i="1"/>
  <c r="I2132" i="1"/>
  <c r="J2132" i="1"/>
  <c r="A2133" i="1"/>
  <c r="B2133" i="1"/>
  <c r="C2133" i="1"/>
  <c r="D2133" i="1"/>
  <c r="E2133" i="1" s="1"/>
  <c r="I2133" i="1"/>
  <c r="J2133" i="1"/>
  <c r="A2134" i="1"/>
  <c r="B2134" i="1"/>
  <c r="C2134" i="1"/>
  <c r="D2134" i="1"/>
  <c r="I2134" i="1"/>
  <c r="J2134" i="1"/>
  <c r="A2135" i="1"/>
  <c r="B2135" i="1"/>
  <c r="C2135" i="1"/>
  <c r="D2135" i="1"/>
  <c r="E2135" i="1"/>
  <c r="I2135" i="1"/>
  <c r="J2135" i="1"/>
  <c r="A2136" i="1"/>
  <c r="B2136" i="1"/>
  <c r="C2136" i="1"/>
  <c r="D2136" i="1"/>
  <c r="I2136" i="1"/>
  <c r="J2136" i="1"/>
  <c r="A2137" i="1"/>
  <c r="B2137" i="1"/>
  <c r="C2137" i="1"/>
  <c r="D2137" i="1"/>
  <c r="E2137" i="1"/>
  <c r="I2137" i="1"/>
  <c r="J2137" i="1"/>
  <c r="A2138" i="1"/>
  <c r="B2138" i="1"/>
  <c r="C2138" i="1"/>
  <c r="D2138" i="1"/>
  <c r="I2138" i="1"/>
  <c r="J2138" i="1"/>
  <c r="A2139" i="1"/>
  <c r="B2139" i="1"/>
  <c r="C2139" i="1"/>
  <c r="D2139" i="1"/>
  <c r="E2139" i="1" s="1"/>
  <c r="I2139" i="1"/>
  <c r="J2139" i="1"/>
  <c r="A2140" i="1"/>
  <c r="B2140" i="1"/>
  <c r="C2140" i="1"/>
  <c r="D2140" i="1"/>
  <c r="I2140" i="1"/>
  <c r="J2140" i="1"/>
  <c r="A2141" i="1"/>
  <c r="B2141" i="1"/>
  <c r="C2141" i="1"/>
  <c r="D2141" i="1"/>
  <c r="E2141" i="1" s="1"/>
  <c r="I2141" i="1"/>
  <c r="J2141" i="1"/>
  <c r="A2142" i="1"/>
  <c r="B2142" i="1"/>
  <c r="C2142" i="1"/>
  <c r="D2142" i="1"/>
  <c r="I2142" i="1"/>
  <c r="J2142" i="1"/>
  <c r="A2143" i="1"/>
  <c r="B2143" i="1"/>
  <c r="C2143" i="1"/>
  <c r="D2143" i="1"/>
  <c r="E2143" i="1"/>
  <c r="I2143" i="1"/>
  <c r="J2143" i="1"/>
  <c r="A2144" i="1"/>
  <c r="B2144" i="1"/>
  <c r="C2144" i="1"/>
  <c r="D2144" i="1"/>
  <c r="I2144" i="1"/>
  <c r="J2144" i="1"/>
  <c r="A2145" i="1"/>
  <c r="B2145" i="1"/>
  <c r="C2145" i="1"/>
  <c r="D2145" i="1"/>
  <c r="E2145" i="1"/>
  <c r="I2145" i="1"/>
  <c r="J2145" i="1"/>
  <c r="A2146" i="1"/>
  <c r="B2146" i="1"/>
  <c r="C2146" i="1"/>
  <c r="D2146" i="1"/>
  <c r="I2146" i="1"/>
  <c r="J2146" i="1"/>
  <c r="A2147" i="1"/>
  <c r="B2147" i="1"/>
  <c r="C2147" i="1"/>
  <c r="D2147" i="1"/>
  <c r="E2147" i="1" s="1"/>
  <c r="I2147" i="1"/>
  <c r="J2147" i="1"/>
  <c r="A2148" i="1"/>
  <c r="B2148" i="1"/>
  <c r="C2148" i="1"/>
  <c r="D2148" i="1"/>
  <c r="I2148" i="1"/>
  <c r="J2148" i="1"/>
  <c r="A2149" i="1"/>
  <c r="B2149" i="1"/>
  <c r="C2149" i="1"/>
  <c r="D2149" i="1"/>
  <c r="E2149" i="1" s="1"/>
  <c r="I2149" i="1"/>
  <c r="J2149" i="1"/>
  <c r="A2150" i="1"/>
  <c r="B2150" i="1"/>
  <c r="C2150" i="1"/>
  <c r="D2150" i="1"/>
  <c r="I2150" i="1"/>
  <c r="J2150" i="1"/>
  <c r="A2151" i="1"/>
  <c r="B2151" i="1"/>
  <c r="C2151" i="1"/>
  <c r="D2151" i="1"/>
  <c r="E2151" i="1"/>
  <c r="I2151" i="1"/>
  <c r="J2151" i="1"/>
  <c r="A2152" i="1"/>
  <c r="B2152" i="1"/>
  <c r="C2152" i="1"/>
  <c r="D2152" i="1"/>
  <c r="I2152" i="1"/>
  <c r="J2152" i="1"/>
  <c r="A2153" i="1"/>
  <c r="B2153" i="1"/>
  <c r="C2153" i="1"/>
  <c r="D2153" i="1"/>
  <c r="E2153" i="1" s="1"/>
  <c r="I2153" i="1"/>
  <c r="J2153" i="1"/>
  <c r="A2154" i="1"/>
  <c r="B2154" i="1"/>
  <c r="C2154" i="1"/>
  <c r="D2154" i="1"/>
  <c r="I2154" i="1"/>
  <c r="J2154" i="1"/>
  <c r="A2155" i="1"/>
  <c r="B2155" i="1"/>
  <c r="C2155" i="1"/>
  <c r="D2155" i="1"/>
  <c r="E2155" i="1" s="1"/>
  <c r="I2155" i="1"/>
  <c r="J2155" i="1"/>
  <c r="A2156" i="1"/>
  <c r="B2156" i="1"/>
  <c r="C2156" i="1"/>
  <c r="D2156" i="1"/>
  <c r="I2156" i="1"/>
  <c r="J2156" i="1"/>
  <c r="A2157" i="1"/>
  <c r="B2157" i="1"/>
  <c r="C2157" i="1"/>
  <c r="D2157" i="1"/>
  <c r="E2157" i="1" s="1"/>
  <c r="I2157" i="1"/>
  <c r="J2157" i="1"/>
  <c r="A2158" i="1"/>
  <c r="B2158" i="1"/>
  <c r="C2158" i="1"/>
  <c r="D2158" i="1"/>
  <c r="I2158" i="1"/>
  <c r="J2158" i="1"/>
  <c r="A2159" i="1"/>
  <c r="B2159" i="1"/>
  <c r="C2159" i="1"/>
  <c r="D2159" i="1"/>
  <c r="E2159" i="1" s="1"/>
  <c r="I2159" i="1"/>
  <c r="J2159" i="1"/>
  <c r="A2160" i="1"/>
  <c r="B2160" i="1"/>
  <c r="C2160" i="1"/>
  <c r="D2160" i="1"/>
  <c r="I2160" i="1"/>
  <c r="J2160" i="1"/>
  <c r="A2161" i="1"/>
  <c r="B2161" i="1"/>
  <c r="C2161" i="1"/>
  <c r="D2161" i="1"/>
  <c r="E2161" i="1" s="1"/>
  <c r="I2161" i="1"/>
  <c r="J2161" i="1"/>
  <c r="A2162" i="1"/>
  <c r="B2162" i="1"/>
  <c r="C2162" i="1"/>
  <c r="D2162" i="1"/>
  <c r="I2162" i="1"/>
  <c r="J2162" i="1"/>
  <c r="A2163" i="1"/>
  <c r="B2163" i="1"/>
  <c r="C2163" i="1"/>
  <c r="D2163" i="1"/>
  <c r="E2163" i="1" s="1"/>
  <c r="I2163" i="1"/>
  <c r="J2163" i="1"/>
  <c r="A2164" i="1"/>
  <c r="B2164" i="1"/>
  <c r="C2164" i="1"/>
  <c r="D2164" i="1"/>
  <c r="I2164" i="1"/>
  <c r="J2164" i="1"/>
  <c r="A2165" i="1"/>
  <c r="B2165" i="1"/>
  <c r="C2165" i="1"/>
  <c r="D2165" i="1"/>
  <c r="E2165" i="1" s="1"/>
  <c r="I2165" i="1"/>
  <c r="J2165" i="1"/>
  <c r="A2166" i="1"/>
  <c r="B2166" i="1"/>
  <c r="C2166" i="1"/>
  <c r="D2166" i="1"/>
  <c r="I2166" i="1"/>
  <c r="J2166" i="1"/>
  <c r="A2167" i="1"/>
  <c r="B2167" i="1"/>
  <c r="C2167" i="1"/>
  <c r="D2167" i="1"/>
  <c r="E2167" i="1"/>
  <c r="I2167" i="1"/>
  <c r="J2167" i="1"/>
  <c r="A2168" i="1"/>
  <c r="B2168" i="1"/>
  <c r="C2168" i="1"/>
  <c r="D2168" i="1"/>
  <c r="I2168" i="1"/>
  <c r="J2168" i="1"/>
  <c r="A2169" i="1"/>
  <c r="B2169" i="1"/>
  <c r="C2169" i="1"/>
  <c r="D2169" i="1"/>
  <c r="E2169" i="1"/>
  <c r="I2169" i="1"/>
  <c r="J2169" i="1"/>
  <c r="A2170" i="1"/>
  <c r="B2170" i="1"/>
  <c r="C2170" i="1"/>
  <c r="D2170" i="1"/>
  <c r="I2170" i="1"/>
  <c r="J2170" i="1"/>
  <c r="A2171" i="1"/>
  <c r="B2171" i="1"/>
  <c r="C2171" i="1"/>
  <c r="D2171" i="1"/>
  <c r="E2171" i="1" s="1"/>
  <c r="I2171" i="1"/>
  <c r="J2171" i="1"/>
  <c r="A2172" i="1"/>
  <c r="B2172" i="1"/>
  <c r="C2172" i="1"/>
  <c r="D2172" i="1"/>
  <c r="I2172" i="1"/>
  <c r="J2172" i="1"/>
  <c r="A2173" i="1"/>
  <c r="B2173" i="1"/>
  <c r="C2173" i="1"/>
  <c r="D2173" i="1"/>
  <c r="E2173" i="1" s="1"/>
  <c r="I2173" i="1"/>
  <c r="J2173" i="1"/>
  <c r="A2174" i="1"/>
  <c r="B2174" i="1"/>
  <c r="C2174" i="1"/>
  <c r="D2174" i="1"/>
  <c r="I2174" i="1"/>
  <c r="J2174" i="1"/>
  <c r="A2175" i="1"/>
  <c r="B2175" i="1"/>
  <c r="C2175" i="1"/>
  <c r="D2175" i="1"/>
  <c r="E2175" i="1"/>
  <c r="I2175" i="1"/>
  <c r="J2175" i="1"/>
  <c r="A2176" i="1"/>
  <c r="B2176" i="1"/>
  <c r="C2176" i="1"/>
  <c r="D2176" i="1"/>
  <c r="I2176" i="1"/>
  <c r="J2176" i="1"/>
  <c r="A2177" i="1"/>
  <c r="B2177" i="1"/>
  <c r="C2177" i="1"/>
  <c r="D2177" i="1"/>
  <c r="E2177" i="1"/>
  <c r="I2177" i="1"/>
  <c r="J2177" i="1"/>
  <c r="A2178" i="1"/>
  <c r="B2178" i="1"/>
  <c r="C2178" i="1"/>
  <c r="D2178" i="1"/>
  <c r="I2178" i="1"/>
  <c r="J2178" i="1"/>
  <c r="A2179" i="1"/>
  <c r="B2179" i="1"/>
  <c r="C2179" i="1"/>
  <c r="D2179" i="1"/>
  <c r="E2179" i="1" s="1"/>
  <c r="I2179" i="1"/>
  <c r="J2179" i="1"/>
  <c r="A2180" i="1"/>
  <c r="B2180" i="1"/>
  <c r="C2180" i="1"/>
  <c r="D2180" i="1"/>
  <c r="I2180" i="1"/>
  <c r="J2180" i="1"/>
  <c r="A2181" i="1"/>
  <c r="B2181" i="1"/>
  <c r="C2181" i="1"/>
  <c r="D2181" i="1"/>
  <c r="E2181" i="1" s="1"/>
  <c r="I2181" i="1"/>
  <c r="J2181" i="1"/>
  <c r="A2182" i="1"/>
  <c r="B2182" i="1"/>
  <c r="C2182" i="1"/>
  <c r="D2182" i="1"/>
  <c r="I2182" i="1"/>
  <c r="J2182" i="1"/>
  <c r="A2183" i="1"/>
  <c r="B2183" i="1"/>
  <c r="C2183" i="1"/>
  <c r="D2183" i="1"/>
  <c r="E2183" i="1" s="1"/>
  <c r="I2183" i="1"/>
  <c r="J2183" i="1"/>
  <c r="A2184" i="1"/>
  <c r="B2184" i="1"/>
  <c r="C2184" i="1"/>
  <c r="D2184" i="1"/>
  <c r="I2184" i="1"/>
  <c r="J2184" i="1"/>
  <c r="A2185" i="1"/>
  <c r="B2185" i="1"/>
  <c r="C2185" i="1"/>
  <c r="D2185" i="1"/>
  <c r="E2185" i="1" s="1"/>
  <c r="I2185" i="1"/>
  <c r="J2185" i="1"/>
  <c r="A2186" i="1"/>
  <c r="B2186" i="1"/>
  <c r="C2186" i="1"/>
  <c r="D2186" i="1"/>
  <c r="I2186" i="1"/>
  <c r="J2186" i="1"/>
  <c r="A2187" i="1"/>
  <c r="B2187" i="1"/>
  <c r="C2187" i="1"/>
  <c r="D2187" i="1"/>
  <c r="E2187" i="1" s="1"/>
  <c r="I2187" i="1"/>
  <c r="J2187" i="1"/>
  <c r="A2188" i="1"/>
  <c r="B2188" i="1"/>
  <c r="C2188" i="1"/>
  <c r="D2188" i="1"/>
  <c r="I2188" i="1"/>
  <c r="J2188" i="1"/>
  <c r="A2189" i="1"/>
  <c r="B2189" i="1"/>
  <c r="C2189" i="1"/>
  <c r="D2189" i="1"/>
  <c r="E2189" i="1" s="1"/>
  <c r="I2189" i="1"/>
  <c r="J2189" i="1"/>
  <c r="A2190" i="1"/>
  <c r="B2190" i="1"/>
  <c r="C2190" i="1"/>
  <c r="D2190" i="1"/>
  <c r="I2190" i="1"/>
  <c r="J2190" i="1"/>
  <c r="A2191" i="1"/>
  <c r="B2191" i="1"/>
  <c r="C2191" i="1"/>
  <c r="D2191" i="1"/>
  <c r="E2191" i="1" s="1"/>
  <c r="I2191" i="1"/>
  <c r="J2191" i="1"/>
  <c r="A2192" i="1"/>
  <c r="B2192" i="1"/>
  <c r="C2192" i="1"/>
  <c r="D2192" i="1"/>
  <c r="I2192" i="1"/>
  <c r="J2192" i="1"/>
  <c r="A2193" i="1"/>
  <c r="B2193" i="1"/>
  <c r="C2193" i="1"/>
  <c r="D2193" i="1"/>
  <c r="E2193" i="1" s="1"/>
  <c r="I2193" i="1"/>
  <c r="J2193" i="1"/>
  <c r="A2194" i="1"/>
  <c r="B2194" i="1"/>
  <c r="C2194" i="1"/>
  <c r="D2194" i="1"/>
  <c r="I2194" i="1"/>
  <c r="J2194" i="1"/>
  <c r="A2195" i="1"/>
  <c r="B2195" i="1"/>
  <c r="C2195" i="1"/>
  <c r="D2195" i="1"/>
  <c r="E2195" i="1" s="1"/>
  <c r="I2195" i="1"/>
  <c r="J2195" i="1"/>
  <c r="A2196" i="1"/>
  <c r="B2196" i="1"/>
  <c r="C2196" i="1"/>
  <c r="D2196" i="1"/>
  <c r="I2196" i="1"/>
  <c r="J2196" i="1"/>
  <c r="A2197" i="1"/>
  <c r="B2197" i="1"/>
  <c r="C2197" i="1"/>
  <c r="D2197" i="1"/>
  <c r="E2197" i="1" s="1"/>
  <c r="I2197" i="1"/>
  <c r="J2197" i="1"/>
  <c r="A2198" i="1"/>
  <c r="B2198" i="1"/>
  <c r="C2198" i="1"/>
  <c r="D2198" i="1"/>
  <c r="I2198" i="1"/>
  <c r="J2198" i="1"/>
  <c r="A2199" i="1"/>
  <c r="B2199" i="1"/>
  <c r="C2199" i="1"/>
  <c r="D2199" i="1"/>
  <c r="E2199" i="1"/>
  <c r="I2199" i="1"/>
  <c r="J2199" i="1"/>
  <c r="A2200" i="1"/>
  <c r="B2200" i="1"/>
  <c r="C2200" i="1"/>
  <c r="D2200" i="1"/>
  <c r="I2200" i="1"/>
  <c r="J2200" i="1"/>
  <c r="A2201" i="1"/>
  <c r="B2201" i="1"/>
  <c r="C2201" i="1"/>
  <c r="D2201" i="1"/>
  <c r="E2201" i="1"/>
  <c r="I2201" i="1"/>
  <c r="J2201" i="1"/>
  <c r="A2202" i="1"/>
  <c r="B2202" i="1"/>
  <c r="C2202" i="1"/>
  <c r="D2202" i="1"/>
  <c r="I2202" i="1"/>
  <c r="J2202" i="1"/>
  <c r="A2203" i="1"/>
  <c r="B2203" i="1"/>
  <c r="C2203" i="1"/>
  <c r="D2203" i="1"/>
  <c r="E2203" i="1" s="1"/>
  <c r="I2203" i="1"/>
  <c r="J2203" i="1"/>
  <c r="A2204" i="1"/>
  <c r="B2204" i="1"/>
  <c r="C2204" i="1"/>
  <c r="D2204" i="1"/>
  <c r="I2204" i="1"/>
  <c r="J2204" i="1"/>
  <c r="A2205" i="1"/>
  <c r="B2205" i="1"/>
  <c r="C2205" i="1"/>
  <c r="D2205" i="1"/>
  <c r="E2205" i="1" s="1"/>
  <c r="I2205" i="1"/>
  <c r="J2205" i="1"/>
  <c r="A2206" i="1"/>
  <c r="B2206" i="1"/>
  <c r="C2206" i="1"/>
  <c r="D2206" i="1"/>
  <c r="I2206" i="1"/>
  <c r="J2206" i="1"/>
  <c r="A2207" i="1"/>
  <c r="B2207" i="1"/>
  <c r="C2207" i="1"/>
  <c r="D2207" i="1"/>
  <c r="E2207" i="1"/>
  <c r="I2207" i="1"/>
  <c r="J2207" i="1"/>
  <c r="A2208" i="1"/>
  <c r="B2208" i="1"/>
  <c r="C2208" i="1"/>
  <c r="D2208" i="1"/>
  <c r="I2208" i="1"/>
  <c r="J2208" i="1"/>
  <c r="A2209" i="1"/>
  <c r="B2209" i="1"/>
  <c r="C2209" i="1"/>
  <c r="D2209" i="1"/>
  <c r="E2209" i="1"/>
  <c r="I2209" i="1"/>
  <c r="J2209" i="1"/>
  <c r="A2210" i="1"/>
  <c r="B2210" i="1"/>
  <c r="C2210" i="1"/>
  <c r="D2210" i="1"/>
  <c r="I2210" i="1"/>
  <c r="J2210" i="1"/>
  <c r="A2211" i="1"/>
  <c r="B2211" i="1"/>
  <c r="C2211" i="1"/>
  <c r="D2211" i="1"/>
  <c r="E2211" i="1" s="1"/>
  <c r="I2211" i="1"/>
  <c r="J2211" i="1"/>
  <c r="A2212" i="1"/>
  <c r="B2212" i="1"/>
  <c r="C2212" i="1"/>
  <c r="D2212" i="1"/>
  <c r="I2212" i="1"/>
  <c r="J2212" i="1"/>
  <c r="A2213" i="1"/>
  <c r="B2213" i="1"/>
  <c r="C2213" i="1"/>
  <c r="D2213" i="1"/>
  <c r="E2213" i="1" s="1"/>
  <c r="I2213" i="1"/>
  <c r="J2213" i="1"/>
  <c r="A2214" i="1"/>
  <c r="B2214" i="1"/>
  <c r="C2214" i="1"/>
  <c r="D2214" i="1"/>
  <c r="I2214" i="1"/>
  <c r="J2214" i="1"/>
  <c r="A2215" i="1"/>
  <c r="B2215" i="1"/>
  <c r="C2215" i="1"/>
  <c r="D2215" i="1"/>
  <c r="E2215" i="1"/>
  <c r="I2215" i="1"/>
  <c r="J2215" i="1"/>
  <c r="A2216" i="1"/>
  <c r="B2216" i="1"/>
  <c r="C2216" i="1"/>
  <c r="D2216" i="1"/>
  <c r="I2216" i="1"/>
  <c r="J2216" i="1"/>
  <c r="A2217" i="1"/>
  <c r="B2217" i="1"/>
  <c r="C2217" i="1"/>
  <c r="D2217" i="1"/>
  <c r="E2217" i="1" s="1"/>
  <c r="I2217" i="1"/>
  <c r="J2217" i="1"/>
  <c r="A2218" i="1"/>
  <c r="B2218" i="1"/>
  <c r="C2218" i="1"/>
  <c r="D2218" i="1"/>
  <c r="I2218" i="1"/>
  <c r="J2218" i="1"/>
  <c r="A2219" i="1"/>
  <c r="B2219" i="1"/>
  <c r="C2219" i="1"/>
  <c r="D2219" i="1"/>
  <c r="E2219" i="1" s="1"/>
  <c r="I2219" i="1"/>
  <c r="J2219" i="1"/>
  <c r="A2220" i="1"/>
  <c r="B2220" i="1"/>
  <c r="C2220" i="1"/>
  <c r="D2220" i="1"/>
  <c r="I2220" i="1"/>
  <c r="J2220" i="1"/>
  <c r="A2221" i="1"/>
  <c r="B2221" i="1"/>
  <c r="C2221" i="1"/>
  <c r="D2221" i="1"/>
  <c r="E2221" i="1" s="1"/>
  <c r="I2221" i="1"/>
  <c r="J2221" i="1"/>
  <c r="A2222" i="1"/>
  <c r="B2222" i="1"/>
  <c r="C2222" i="1"/>
  <c r="D2222" i="1"/>
  <c r="I2222" i="1"/>
  <c r="J2222" i="1"/>
  <c r="A2223" i="1"/>
  <c r="B2223" i="1"/>
  <c r="C2223" i="1"/>
  <c r="D2223" i="1"/>
  <c r="E2223" i="1" s="1"/>
  <c r="I2223" i="1"/>
  <c r="J2223" i="1"/>
  <c r="A2224" i="1"/>
  <c r="B2224" i="1"/>
  <c r="C2224" i="1"/>
  <c r="D2224" i="1"/>
  <c r="I2224" i="1"/>
  <c r="J2224" i="1"/>
  <c r="A2225" i="1"/>
  <c r="B2225" i="1"/>
  <c r="C2225" i="1"/>
  <c r="E2225" i="1"/>
  <c r="I2225" i="1"/>
  <c r="J2225" i="1"/>
  <c r="A2226" i="1"/>
  <c r="B2226" i="1"/>
  <c r="C2226" i="1"/>
  <c r="E2226" i="1"/>
  <c r="I2226" i="1"/>
  <c r="J2226" i="1"/>
  <c r="A2227" i="1"/>
  <c r="B2227" i="1"/>
  <c r="C2227" i="1"/>
  <c r="E2227" i="1"/>
  <c r="I2227" i="1"/>
  <c r="J2227" i="1"/>
  <c r="A2228" i="1"/>
  <c r="B2228" i="1"/>
  <c r="C2228" i="1"/>
  <c r="E2228" i="1"/>
  <c r="I2228" i="1"/>
  <c r="J2228" i="1"/>
  <c r="A2229" i="1"/>
  <c r="B2229" i="1"/>
  <c r="C2229" i="1"/>
  <c r="E2229" i="1"/>
  <c r="I2229" i="1"/>
  <c r="J2229" i="1"/>
  <c r="A2230" i="1"/>
  <c r="B2230" i="1"/>
  <c r="C2230" i="1"/>
  <c r="E2230" i="1"/>
  <c r="I2230" i="1"/>
  <c r="J2230" i="1"/>
  <c r="A2231" i="1"/>
  <c r="B2231" i="1"/>
  <c r="C2231" i="1"/>
  <c r="E2231" i="1"/>
  <c r="I2231" i="1"/>
  <c r="J2231" i="1"/>
  <c r="A2232" i="1"/>
  <c r="B2232" i="1"/>
  <c r="C2232" i="1"/>
  <c r="E2232" i="1"/>
  <c r="I2232" i="1"/>
  <c r="J2232" i="1"/>
  <c r="A2233" i="1"/>
  <c r="B2233" i="1"/>
  <c r="C2233" i="1"/>
  <c r="E2233" i="1"/>
  <c r="I2233" i="1"/>
  <c r="J2233" i="1"/>
  <c r="A2234" i="1"/>
  <c r="B2234" i="1"/>
  <c r="C2234" i="1"/>
  <c r="E2234" i="1"/>
  <c r="I2234" i="1"/>
  <c r="J2234" i="1"/>
  <c r="A2235" i="1"/>
  <c r="B2235" i="1"/>
  <c r="C2235" i="1"/>
  <c r="E2235" i="1"/>
  <c r="I2235" i="1"/>
  <c r="J2235" i="1"/>
  <c r="A2236" i="1"/>
  <c r="B2236" i="1"/>
  <c r="C2236" i="1"/>
  <c r="D2236" i="1"/>
  <c r="E2236" i="1" s="1"/>
  <c r="I2236" i="1"/>
  <c r="J2236" i="1"/>
  <c r="A2237" i="1"/>
  <c r="B2237" i="1"/>
  <c r="C2237" i="1"/>
  <c r="D2237" i="1"/>
  <c r="E2237" i="1" s="1"/>
  <c r="I2237" i="1"/>
  <c r="J2237" i="1"/>
  <c r="A2238" i="1"/>
  <c r="B2238" i="1"/>
  <c r="C2238" i="1"/>
  <c r="D2238" i="1"/>
  <c r="E2238" i="1" s="1"/>
  <c r="I2238" i="1"/>
  <c r="J2238" i="1"/>
  <c r="A2239" i="1"/>
  <c r="B2239" i="1"/>
  <c r="C2239" i="1"/>
  <c r="D2239" i="1"/>
  <c r="E2239" i="1"/>
  <c r="I2239" i="1"/>
  <c r="J2239" i="1"/>
  <c r="A2240" i="1"/>
  <c r="B2240" i="1"/>
  <c r="C2240" i="1"/>
  <c r="D2240" i="1"/>
  <c r="E2240" i="1" s="1"/>
  <c r="I2240" i="1"/>
  <c r="J2240" i="1"/>
  <c r="A2241" i="1"/>
  <c r="B2241" i="1"/>
  <c r="C2241" i="1"/>
  <c r="D2241" i="1"/>
  <c r="E2241" i="1" s="1"/>
  <c r="I2241" i="1"/>
  <c r="J2241" i="1"/>
  <c r="A2242" i="1"/>
  <c r="B2242" i="1"/>
  <c r="C2242" i="1"/>
  <c r="E2242" i="1"/>
  <c r="I2242" i="1"/>
  <c r="J2242" i="1"/>
  <c r="A2243" i="1"/>
  <c r="B2243" i="1"/>
  <c r="C2243" i="1"/>
  <c r="E2243" i="1"/>
  <c r="I2243" i="1"/>
  <c r="J2243" i="1"/>
  <c r="A2244" i="1"/>
  <c r="B2244" i="1"/>
  <c r="C2244" i="1"/>
  <c r="E2244" i="1"/>
  <c r="I2244" i="1"/>
  <c r="J2244" i="1"/>
  <c r="A2245" i="1"/>
  <c r="B2245" i="1"/>
  <c r="C2245" i="1"/>
  <c r="E2245" i="1"/>
  <c r="I2245" i="1"/>
  <c r="J2245" i="1"/>
  <c r="A2246" i="1"/>
  <c r="B2246" i="1"/>
  <c r="C2246" i="1"/>
  <c r="E2246" i="1"/>
  <c r="I2246" i="1"/>
  <c r="J2246" i="1"/>
  <c r="A2247" i="1"/>
  <c r="B2247" i="1"/>
  <c r="C2247" i="1"/>
  <c r="E2247" i="1"/>
  <c r="I2247" i="1"/>
  <c r="J2247" i="1"/>
  <c r="A2248" i="1"/>
  <c r="B2248" i="1"/>
  <c r="C2248" i="1"/>
  <c r="E2248" i="1"/>
  <c r="I2248" i="1"/>
  <c r="J2248" i="1"/>
  <c r="A2249" i="1"/>
  <c r="B2249" i="1"/>
  <c r="C2249" i="1"/>
  <c r="E2249" i="1"/>
  <c r="I2249" i="1"/>
  <c r="J2249" i="1"/>
  <c r="A2250" i="1"/>
  <c r="B2250" i="1"/>
  <c r="C2250" i="1"/>
  <c r="E2250" i="1"/>
  <c r="I2250" i="1"/>
  <c r="J2250" i="1"/>
  <c r="A2251" i="1"/>
  <c r="B2251" i="1"/>
  <c r="C2251" i="1"/>
  <c r="D2251" i="1"/>
  <c r="I2251" i="1"/>
  <c r="J2251" i="1"/>
  <c r="A2252" i="1"/>
  <c r="B2252" i="1"/>
  <c r="C2252" i="1"/>
  <c r="D2252" i="1"/>
  <c r="E2252" i="1"/>
  <c r="I2252" i="1"/>
  <c r="J2252" i="1"/>
  <c r="A2253" i="1"/>
  <c r="B2253" i="1"/>
  <c r="C2253" i="1"/>
  <c r="D2253" i="1"/>
  <c r="I2253" i="1"/>
  <c r="J2253" i="1"/>
  <c r="A2254" i="1"/>
  <c r="B2254" i="1"/>
  <c r="C2254" i="1"/>
  <c r="D2254" i="1"/>
  <c r="E2254" i="1" s="1"/>
  <c r="I2254" i="1"/>
  <c r="J2254" i="1"/>
  <c r="A2255" i="1"/>
  <c r="B2255" i="1"/>
  <c r="C2255" i="1"/>
  <c r="D2255" i="1"/>
  <c r="I2255" i="1"/>
  <c r="J2255" i="1"/>
  <c r="A2256" i="1"/>
  <c r="B2256" i="1"/>
  <c r="C2256" i="1"/>
  <c r="D2256" i="1"/>
  <c r="E2256" i="1" s="1"/>
  <c r="I2256" i="1"/>
  <c r="J2256" i="1"/>
  <c r="A2257" i="1"/>
  <c r="B2257" i="1"/>
  <c r="C2257" i="1"/>
  <c r="D2257" i="1"/>
  <c r="I2257" i="1"/>
  <c r="J2257" i="1"/>
  <c r="A2258" i="1"/>
  <c r="B2258" i="1"/>
  <c r="C2258" i="1"/>
  <c r="D2258" i="1"/>
  <c r="E2258" i="1"/>
  <c r="I2258" i="1"/>
  <c r="J2258" i="1"/>
  <c r="A2259" i="1"/>
  <c r="B2259" i="1"/>
  <c r="C2259" i="1"/>
  <c r="D2259" i="1"/>
  <c r="I2259" i="1"/>
  <c r="J2259" i="1"/>
  <c r="A2260" i="1"/>
  <c r="B2260" i="1"/>
  <c r="C2260" i="1"/>
  <c r="D2260" i="1"/>
  <c r="E2260" i="1" s="1"/>
  <c r="I2260" i="1"/>
  <c r="J2260" i="1"/>
  <c r="A2261" i="1"/>
  <c r="B2261" i="1"/>
  <c r="C2261" i="1"/>
  <c r="D2261" i="1"/>
  <c r="I2261" i="1"/>
  <c r="J2261" i="1"/>
  <c r="A2262" i="1"/>
  <c r="B2262" i="1"/>
  <c r="C2262" i="1"/>
  <c r="D2262" i="1"/>
  <c r="E2262" i="1" s="1"/>
  <c r="I2262" i="1"/>
  <c r="J2262" i="1"/>
  <c r="A2263" i="1"/>
  <c r="B2263" i="1"/>
  <c r="C2263" i="1"/>
  <c r="D2263" i="1"/>
  <c r="I2263" i="1"/>
  <c r="J2263" i="1"/>
  <c r="A2264" i="1"/>
  <c r="B2264" i="1"/>
  <c r="C2264" i="1"/>
  <c r="D2264" i="1"/>
  <c r="E2264" i="1" s="1"/>
  <c r="I2264" i="1"/>
  <c r="J2264" i="1"/>
  <c r="A2265" i="1"/>
  <c r="B2265" i="1"/>
  <c r="C2265" i="1"/>
  <c r="D2265" i="1"/>
  <c r="I2265" i="1"/>
  <c r="A2266" i="1"/>
  <c r="B2266" i="1"/>
  <c r="C2266" i="1"/>
  <c r="D2266" i="1"/>
  <c r="I2266" i="1"/>
  <c r="J2266" i="1"/>
  <c r="A2267" i="1"/>
  <c r="B2267" i="1"/>
  <c r="C2267" i="1"/>
  <c r="D2267" i="1"/>
  <c r="E2267" i="1" s="1"/>
  <c r="I2267" i="1"/>
  <c r="J2267" i="1"/>
  <c r="A2268" i="1"/>
  <c r="B2268" i="1"/>
  <c r="C2268" i="1"/>
  <c r="D2268" i="1"/>
  <c r="I2268" i="1"/>
  <c r="J2268" i="1"/>
  <c r="A2269" i="1"/>
  <c r="B2269" i="1"/>
  <c r="C2269" i="1"/>
  <c r="D2269" i="1"/>
  <c r="E2269" i="1" s="1"/>
  <c r="I2269" i="1"/>
  <c r="J2269" i="1"/>
  <c r="A2270" i="1"/>
  <c r="B2270" i="1"/>
  <c r="C2270" i="1"/>
  <c r="D2270" i="1"/>
  <c r="I2270" i="1"/>
  <c r="J2270" i="1"/>
  <c r="A2271" i="1"/>
  <c r="B2271" i="1"/>
  <c r="C2271" i="1"/>
  <c r="D2271" i="1"/>
  <c r="E2271" i="1" s="1"/>
  <c r="I2271" i="1"/>
  <c r="J2271" i="1"/>
  <c r="A2272" i="1"/>
  <c r="B2272" i="1"/>
  <c r="C2272" i="1"/>
  <c r="D2272" i="1"/>
  <c r="I2272" i="1"/>
  <c r="J2272" i="1"/>
  <c r="A2273" i="1"/>
  <c r="B2273" i="1"/>
  <c r="C2273" i="1"/>
  <c r="D2273" i="1"/>
  <c r="E2273" i="1"/>
  <c r="I2273" i="1"/>
  <c r="J2273" i="1"/>
  <c r="A2274" i="1"/>
  <c r="B2274" i="1"/>
  <c r="C2274" i="1"/>
  <c r="D2274" i="1"/>
  <c r="I2274" i="1"/>
  <c r="J2274" i="1"/>
  <c r="A2275" i="1"/>
  <c r="B2275" i="1"/>
  <c r="C2275" i="1"/>
  <c r="D2275" i="1"/>
  <c r="I2275" i="1"/>
  <c r="J2275" i="1"/>
  <c r="A2276" i="1"/>
  <c r="B2276" i="1"/>
  <c r="C2276" i="1"/>
  <c r="D2276" i="1"/>
  <c r="E2276" i="1" s="1"/>
  <c r="I2276" i="1"/>
  <c r="J2276" i="1"/>
  <c r="A2277" i="1"/>
  <c r="B2277" i="1"/>
  <c r="C2277" i="1"/>
  <c r="D2277" i="1"/>
  <c r="E2277" i="1" s="1"/>
  <c r="I2277" i="1"/>
  <c r="J2277" i="1"/>
  <c r="A2278" i="1"/>
  <c r="B2278" i="1"/>
  <c r="C2278" i="1"/>
  <c r="D2278" i="1"/>
  <c r="E2278" i="1"/>
  <c r="I2278" i="1"/>
  <c r="J2278" i="1"/>
  <c r="A2279" i="1"/>
  <c r="B2279" i="1"/>
  <c r="C2279" i="1"/>
  <c r="D2279" i="1"/>
  <c r="E2279" i="1" s="1"/>
  <c r="I2279" i="1"/>
  <c r="J2279" i="1"/>
  <c r="A2280" i="1"/>
  <c r="B2280" i="1"/>
  <c r="C2280" i="1"/>
  <c r="D2280" i="1"/>
  <c r="E2280" i="1" s="1"/>
  <c r="I2280" i="1"/>
  <c r="J2280" i="1"/>
  <c r="A2281" i="1"/>
  <c r="B2281" i="1"/>
  <c r="C2281" i="1"/>
  <c r="D2281" i="1"/>
  <c r="E2281" i="1" s="1"/>
  <c r="I2281" i="1"/>
  <c r="J2281" i="1"/>
  <c r="A2282" i="1"/>
  <c r="B2282" i="1"/>
  <c r="C2282" i="1"/>
  <c r="D2282" i="1"/>
  <c r="E2282" i="1" s="1"/>
  <c r="I2282" i="1"/>
  <c r="J2282" i="1"/>
  <c r="A2283" i="1"/>
  <c r="B2283" i="1"/>
  <c r="C2283" i="1"/>
  <c r="D2283" i="1"/>
  <c r="E2283" i="1"/>
  <c r="I2283" i="1"/>
  <c r="J2283" i="1"/>
  <c r="A2284" i="1"/>
  <c r="B2284" i="1"/>
  <c r="C2284" i="1"/>
  <c r="D2284" i="1"/>
  <c r="E2284" i="1" s="1"/>
  <c r="I2284" i="1"/>
  <c r="J2284" i="1"/>
  <c r="A2285" i="1"/>
  <c r="B2285" i="1"/>
  <c r="C2285" i="1"/>
  <c r="D2285" i="1"/>
  <c r="E2285" i="1" s="1"/>
  <c r="I2285" i="1"/>
  <c r="J2285" i="1"/>
  <c r="A2286" i="1"/>
  <c r="B2286" i="1"/>
  <c r="C2286" i="1"/>
  <c r="D2286" i="1"/>
  <c r="E2286" i="1" s="1"/>
  <c r="I2286" i="1"/>
  <c r="J2286" i="1"/>
  <c r="A2287" i="1"/>
  <c r="B2287" i="1"/>
  <c r="C2287" i="1"/>
  <c r="D2287" i="1"/>
  <c r="E2287" i="1"/>
  <c r="I2287" i="1"/>
  <c r="J2287" i="1"/>
  <c r="A2288" i="1"/>
  <c r="B2288" i="1"/>
  <c r="C2288" i="1"/>
  <c r="D2288" i="1"/>
  <c r="E2288" i="1" s="1"/>
  <c r="I2288" i="1"/>
  <c r="J2288" i="1"/>
  <c r="A2289" i="1"/>
  <c r="B2289" i="1"/>
  <c r="C2289" i="1"/>
  <c r="D2289" i="1"/>
  <c r="E2289" i="1" s="1"/>
  <c r="I2289" i="1"/>
  <c r="J2289" i="1"/>
  <c r="A2290" i="1"/>
  <c r="B2290" i="1"/>
  <c r="C2290" i="1"/>
  <c r="E2290" i="1"/>
  <c r="I2290" i="1"/>
  <c r="J2290" i="1"/>
  <c r="A2291" i="1"/>
  <c r="B2291" i="1"/>
  <c r="C2291" i="1"/>
  <c r="E2291" i="1"/>
  <c r="I2291" i="1"/>
  <c r="J2291" i="1"/>
  <c r="A2292" i="1"/>
  <c r="B2292" i="1"/>
  <c r="C2292" i="1"/>
  <c r="E2292" i="1"/>
  <c r="I2292" i="1"/>
  <c r="J2292" i="1"/>
  <c r="A2293" i="1"/>
  <c r="B2293" i="1"/>
  <c r="C2293" i="1"/>
  <c r="D2293" i="1"/>
  <c r="I2293" i="1"/>
  <c r="J2293" i="1"/>
  <c r="A2294" i="1"/>
  <c r="B2294" i="1"/>
  <c r="C2294" i="1"/>
  <c r="D2294" i="1"/>
  <c r="I2294" i="1"/>
  <c r="J2294" i="1"/>
  <c r="A2295" i="1"/>
  <c r="B2295" i="1"/>
  <c r="C2295" i="1"/>
  <c r="D2295" i="1"/>
  <c r="E2295" i="1" s="1"/>
  <c r="I2295" i="1"/>
  <c r="J2295" i="1"/>
  <c r="A2296" i="1"/>
  <c r="B2296" i="1"/>
  <c r="C2296" i="1"/>
  <c r="D2296" i="1"/>
  <c r="I2296" i="1"/>
  <c r="J2296" i="1"/>
  <c r="A2297" i="1"/>
  <c r="B2297" i="1"/>
  <c r="C2297" i="1"/>
  <c r="D2297" i="1"/>
  <c r="I2297" i="1"/>
  <c r="J2297" i="1"/>
  <c r="A2298" i="1"/>
  <c r="B2298" i="1"/>
  <c r="C2298" i="1"/>
  <c r="D2298" i="1"/>
  <c r="E2298" i="1" s="1"/>
  <c r="I2298" i="1"/>
  <c r="J2298" i="1"/>
  <c r="A2299" i="1"/>
  <c r="B2299" i="1"/>
  <c r="C2299" i="1"/>
  <c r="D2299" i="1"/>
  <c r="I2299" i="1"/>
  <c r="J2299" i="1"/>
  <c r="A2300" i="1"/>
  <c r="B2300" i="1"/>
  <c r="C2300" i="1"/>
  <c r="D2300" i="1"/>
  <c r="E2300" i="1" s="1"/>
  <c r="I2300" i="1"/>
  <c r="J2300" i="1"/>
  <c r="A2301" i="1"/>
  <c r="B2301" i="1"/>
  <c r="C2301" i="1"/>
  <c r="D2301" i="1"/>
  <c r="I2301" i="1"/>
  <c r="J2301" i="1"/>
  <c r="A2302" i="1"/>
  <c r="B2302" i="1"/>
  <c r="C2302" i="1"/>
  <c r="D2302" i="1"/>
  <c r="E2302" i="1" s="1"/>
  <c r="I2302" i="1"/>
  <c r="J2302" i="1"/>
  <c r="A2303" i="1"/>
  <c r="B2303" i="1"/>
  <c r="C2303" i="1"/>
  <c r="D2303" i="1"/>
  <c r="I2303" i="1"/>
  <c r="J2303" i="1"/>
  <c r="A2304" i="1"/>
  <c r="B2304" i="1"/>
  <c r="C2304" i="1"/>
  <c r="D2304" i="1"/>
  <c r="E2304" i="1"/>
  <c r="I2304" i="1"/>
  <c r="J2304" i="1"/>
  <c r="A2305" i="1"/>
  <c r="B2305" i="1"/>
  <c r="C2305" i="1"/>
  <c r="D2305" i="1"/>
  <c r="I2305" i="1"/>
  <c r="J2305" i="1"/>
  <c r="A2306" i="1"/>
  <c r="B2306" i="1"/>
  <c r="C2306" i="1"/>
  <c r="D2306" i="1"/>
  <c r="E2306" i="1" s="1"/>
  <c r="I2306" i="1"/>
  <c r="J2306" i="1"/>
  <c r="A2307" i="1"/>
  <c r="B2307" i="1"/>
  <c r="C2307" i="1"/>
  <c r="D2307" i="1"/>
  <c r="I2307" i="1"/>
  <c r="J2307" i="1"/>
  <c r="A2308" i="1"/>
  <c r="B2308" i="1"/>
  <c r="C2308" i="1"/>
  <c r="D2308" i="1"/>
  <c r="E2308" i="1" s="1"/>
  <c r="I2308" i="1"/>
  <c r="J2308" i="1"/>
  <c r="A2309" i="1"/>
  <c r="B2309" i="1"/>
  <c r="C2309" i="1"/>
  <c r="D2309" i="1"/>
  <c r="I2309" i="1"/>
  <c r="J2309" i="1"/>
  <c r="A2310" i="1"/>
  <c r="B2310" i="1"/>
  <c r="C2310" i="1"/>
  <c r="D2310" i="1"/>
  <c r="E2310" i="1"/>
  <c r="I2310" i="1"/>
  <c r="J2310" i="1"/>
  <c r="A2311" i="1"/>
  <c r="B2311" i="1"/>
  <c r="C2311" i="1"/>
  <c r="D2311" i="1"/>
  <c r="I2311" i="1"/>
  <c r="J2311" i="1"/>
  <c r="A2312" i="1"/>
  <c r="B2312" i="1"/>
  <c r="C2312" i="1"/>
  <c r="D2312" i="1"/>
  <c r="E2312" i="1"/>
  <c r="I2312" i="1"/>
  <c r="J2312" i="1"/>
  <c r="A2313" i="1"/>
  <c r="B2313" i="1"/>
  <c r="C2313" i="1"/>
  <c r="D2313" i="1"/>
  <c r="I2313" i="1"/>
  <c r="J2313" i="1"/>
  <c r="A2314" i="1"/>
  <c r="B2314" i="1"/>
  <c r="C2314" i="1"/>
  <c r="D2314" i="1"/>
  <c r="E2314" i="1" s="1"/>
  <c r="I2314" i="1"/>
  <c r="J2314" i="1"/>
  <c r="A2315" i="1"/>
  <c r="B2315" i="1"/>
  <c r="C2315" i="1"/>
  <c r="D2315" i="1"/>
  <c r="I2315" i="1"/>
  <c r="J2315" i="1"/>
  <c r="A2316" i="1"/>
  <c r="B2316" i="1"/>
  <c r="C2316" i="1"/>
  <c r="D2316" i="1"/>
  <c r="E2316" i="1" s="1"/>
  <c r="I2316" i="1"/>
  <c r="J2316" i="1"/>
  <c r="A2317" i="1"/>
  <c r="B2317" i="1"/>
  <c r="C2317" i="1"/>
  <c r="D2317" i="1"/>
  <c r="I2317" i="1"/>
  <c r="J2317" i="1"/>
  <c r="A2318" i="1"/>
  <c r="B2318" i="1"/>
  <c r="C2318" i="1"/>
  <c r="D2318" i="1"/>
  <c r="E2318" i="1" s="1"/>
  <c r="I2318" i="1"/>
  <c r="J2318" i="1"/>
  <c r="A2319" i="1"/>
  <c r="B2319" i="1"/>
  <c r="C2319" i="1"/>
  <c r="D2319" i="1"/>
  <c r="I2319" i="1"/>
  <c r="J2319" i="1"/>
  <c r="A2320" i="1"/>
  <c r="B2320" i="1"/>
  <c r="C2320" i="1"/>
  <c r="D2320" i="1"/>
  <c r="E2320" i="1" s="1"/>
  <c r="I2320" i="1"/>
  <c r="J2320" i="1"/>
  <c r="A2321" i="1"/>
  <c r="B2321" i="1"/>
  <c r="C2321" i="1"/>
  <c r="D2321" i="1"/>
  <c r="I2321" i="1"/>
  <c r="J2321" i="1"/>
  <c r="A2322" i="1"/>
  <c r="B2322" i="1"/>
  <c r="C2322" i="1"/>
  <c r="D2322" i="1"/>
  <c r="E2322" i="1" s="1"/>
  <c r="I2322" i="1"/>
  <c r="J2322" i="1"/>
  <c r="A2323" i="1"/>
  <c r="B2323" i="1"/>
  <c r="C2323" i="1"/>
  <c r="D2323" i="1"/>
  <c r="I2323" i="1"/>
  <c r="J2323" i="1"/>
  <c r="A2324" i="1"/>
  <c r="B2324" i="1"/>
  <c r="C2324" i="1"/>
  <c r="D2324" i="1"/>
  <c r="E2324" i="1" s="1"/>
  <c r="I2324" i="1"/>
  <c r="J2324" i="1"/>
  <c r="A2325" i="1"/>
  <c r="B2325" i="1"/>
  <c r="C2325" i="1"/>
  <c r="D2325" i="1"/>
  <c r="I2325" i="1"/>
  <c r="J2325" i="1"/>
  <c r="A2326" i="1"/>
  <c r="B2326" i="1"/>
  <c r="C2326" i="1"/>
  <c r="D2326" i="1"/>
  <c r="E2326" i="1" s="1"/>
  <c r="I2326" i="1"/>
  <c r="J2326" i="1"/>
  <c r="A2327" i="1"/>
  <c r="B2327" i="1"/>
  <c r="C2327" i="1"/>
  <c r="D2327" i="1"/>
  <c r="I2327" i="1"/>
  <c r="J2327" i="1"/>
  <c r="A2328" i="1"/>
  <c r="B2328" i="1"/>
  <c r="C2328" i="1"/>
  <c r="D2328" i="1"/>
  <c r="E2328" i="1"/>
  <c r="I2328" i="1"/>
  <c r="J2328" i="1"/>
  <c r="A2329" i="1"/>
  <c r="B2329" i="1"/>
  <c r="C2329" i="1"/>
  <c r="D2329" i="1"/>
  <c r="I2329" i="1"/>
  <c r="J2329" i="1"/>
  <c r="A2330" i="1"/>
  <c r="B2330" i="1"/>
  <c r="C2330" i="1"/>
  <c r="D2330" i="1"/>
  <c r="E2330" i="1" s="1"/>
  <c r="I2330" i="1"/>
  <c r="J2330" i="1"/>
  <c r="A2331" i="1"/>
  <c r="B2331" i="1"/>
  <c r="C2331" i="1"/>
  <c r="D2331" i="1"/>
  <c r="I2331" i="1"/>
  <c r="J2331" i="1"/>
  <c r="A2332" i="1"/>
  <c r="B2332" i="1"/>
  <c r="C2332" i="1"/>
  <c r="D2332" i="1"/>
  <c r="E2332" i="1" s="1"/>
  <c r="I2332" i="1"/>
  <c r="J2332" i="1"/>
  <c r="A2333" i="1"/>
  <c r="B2333" i="1"/>
  <c r="C2333" i="1"/>
  <c r="D2333" i="1"/>
  <c r="I2333" i="1"/>
  <c r="J2333" i="1"/>
  <c r="A2334" i="1"/>
  <c r="B2334" i="1"/>
  <c r="C2334" i="1"/>
  <c r="D2334" i="1"/>
  <c r="E2334" i="1" s="1"/>
  <c r="I2334" i="1"/>
  <c r="J2334" i="1"/>
  <c r="A2335" i="1"/>
  <c r="B2335" i="1"/>
  <c r="C2335" i="1"/>
  <c r="D2335" i="1"/>
  <c r="I2335" i="1"/>
  <c r="J2335" i="1"/>
  <c r="A2336" i="1"/>
  <c r="B2336" i="1"/>
  <c r="C2336" i="1"/>
  <c r="D2336" i="1"/>
  <c r="E2336" i="1"/>
  <c r="I2336" i="1"/>
  <c r="J2336" i="1"/>
  <c r="A2337" i="1"/>
  <c r="B2337" i="1"/>
  <c r="C2337" i="1"/>
  <c r="D2337" i="1"/>
  <c r="I2337" i="1"/>
  <c r="J2337" i="1"/>
  <c r="A2338" i="1"/>
  <c r="B2338" i="1"/>
  <c r="C2338" i="1"/>
  <c r="D2338" i="1"/>
  <c r="E2338" i="1" s="1"/>
  <c r="I2338" i="1"/>
  <c r="J2338" i="1"/>
  <c r="A2339" i="1"/>
  <c r="B2339" i="1"/>
  <c r="C2339" i="1"/>
  <c r="D2339" i="1"/>
  <c r="I2339" i="1"/>
  <c r="J2339" i="1"/>
  <c r="A2340" i="1"/>
  <c r="B2340" i="1"/>
  <c r="C2340" i="1"/>
  <c r="D2340" i="1"/>
  <c r="E2340" i="1" s="1"/>
  <c r="I2340" i="1"/>
  <c r="J2340" i="1"/>
  <c r="A2341" i="1"/>
  <c r="B2341" i="1"/>
  <c r="C2341" i="1"/>
  <c r="D2341" i="1"/>
  <c r="I2341" i="1"/>
  <c r="J2341" i="1"/>
  <c r="A2342" i="1"/>
  <c r="B2342" i="1"/>
  <c r="C2342" i="1"/>
  <c r="D2342" i="1"/>
  <c r="E2342" i="1"/>
  <c r="I2342" i="1"/>
  <c r="J2342" i="1"/>
  <c r="A2343" i="1"/>
  <c r="B2343" i="1"/>
  <c r="C2343" i="1"/>
  <c r="D2343" i="1"/>
  <c r="I2343" i="1"/>
  <c r="J2343" i="1"/>
  <c r="A2344" i="1"/>
  <c r="B2344" i="1"/>
  <c r="C2344" i="1"/>
  <c r="D2344" i="1"/>
  <c r="E2344" i="1"/>
  <c r="I2344" i="1"/>
  <c r="J2344" i="1"/>
  <c r="A2345" i="1"/>
  <c r="B2345" i="1"/>
  <c r="C2345" i="1"/>
  <c r="D2345" i="1"/>
  <c r="I2345" i="1"/>
  <c r="J2345" i="1"/>
  <c r="A2346" i="1"/>
  <c r="B2346" i="1"/>
  <c r="C2346" i="1"/>
  <c r="D2346" i="1"/>
  <c r="E2346" i="1" s="1"/>
  <c r="I2346" i="1"/>
  <c r="J2346" i="1"/>
  <c r="A2347" i="1"/>
  <c r="B2347" i="1"/>
  <c r="C2347" i="1"/>
  <c r="D2347" i="1"/>
  <c r="E2347" i="1"/>
  <c r="I2347" i="1"/>
  <c r="J2347" i="1"/>
  <c r="A2348" i="1"/>
  <c r="B2348" i="1"/>
  <c r="C2348" i="1"/>
  <c r="D2348" i="1"/>
  <c r="I2348" i="1"/>
  <c r="J2348" i="1"/>
  <c r="A2349" i="1"/>
  <c r="B2349" i="1"/>
  <c r="C2349" i="1"/>
  <c r="D2349" i="1"/>
  <c r="I2349" i="1"/>
  <c r="J2349" i="1"/>
  <c r="A2350" i="1"/>
  <c r="B2350" i="1"/>
  <c r="C2350" i="1"/>
  <c r="D2350" i="1"/>
  <c r="I2350" i="1"/>
  <c r="J2350" i="1"/>
  <c r="A2351" i="1"/>
  <c r="B2351" i="1"/>
  <c r="C2351" i="1"/>
  <c r="D2351" i="1"/>
  <c r="I2351" i="1"/>
  <c r="J2351" i="1"/>
  <c r="A2352" i="1"/>
  <c r="B2352" i="1"/>
  <c r="C2352" i="1"/>
  <c r="D2352" i="1"/>
  <c r="E2352" i="1" s="1"/>
  <c r="I2352" i="1"/>
  <c r="J2352" i="1"/>
  <c r="A2353" i="1"/>
  <c r="B2353" i="1"/>
  <c r="C2353" i="1"/>
  <c r="D2353" i="1"/>
  <c r="E2353" i="1" s="1"/>
  <c r="I2353" i="1"/>
  <c r="J2353" i="1"/>
  <c r="A2354" i="1"/>
  <c r="B2354" i="1"/>
  <c r="C2354" i="1"/>
  <c r="D2354" i="1"/>
  <c r="E2354" i="1" s="1"/>
  <c r="I2354" i="1"/>
  <c r="J2354" i="1"/>
  <c r="A2355" i="1"/>
  <c r="B2355" i="1"/>
  <c r="C2355" i="1"/>
  <c r="D2355" i="1"/>
  <c r="I2355" i="1"/>
  <c r="J2355" i="1"/>
  <c r="A2356" i="1"/>
  <c r="B2356" i="1"/>
  <c r="C2356" i="1"/>
  <c r="D2356" i="1"/>
  <c r="I2356" i="1"/>
  <c r="J2356" i="1"/>
  <c r="A2357" i="1"/>
  <c r="B2357" i="1"/>
  <c r="C2357" i="1"/>
  <c r="D2357" i="1"/>
  <c r="I2357" i="1"/>
  <c r="J2357" i="1"/>
  <c r="A2358" i="1"/>
  <c r="B2358" i="1"/>
  <c r="C2358" i="1"/>
  <c r="D2358" i="1"/>
  <c r="E2358" i="1" s="1"/>
  <c r="I2358" i="1"/>
  <c r="J2358" i="1"/>
  <c r="A2359" i="1"/>
  <c r="B2359" i="1"/>
  <c r="C2359" i="1"/>
  <c r="D2359" i="1"/>
  <c r="I2359" i="1"/>
  <c r="J2359" i="1"/>
  <c r="A2360" i="1"/>
  <c r="B2360" i="1"/>
  <c r="C2360" i="1"/>
  <c r="D2360" i="1"/>
  <c r="E2360" i="1"/>
  <c r="I2360" i="1"/>
  <c r="J2360" i="1"/>
  <c r="A2361" i="1"/>
  <c r="B2361" i="1"/>
  <c r="C2361" i="1"/>
  <c r="D2361" i="1"/>
  <c r="E2361" i="1" s="1"/>
  <c r="I2361" i="1"/>
  <c r="J2361" i="1"/>
  <c r="A2362" i="1"/>
  <c r="B2362" i="1"/>
  <c r="C2362" i="1"/>
  <c r="D2362" i="1"/>
  <c r="E2362" i="1" s="1"/>
  <c r="I2362" i="1"/>
  <c r="J2362" i="1"/>
  <c r="A2363" i="1"/>
  <c r="B2363" i="1"/>
  <c r="C2363" i="1"/>
  <c r="D2363" i="1"/>
  <c r="I2363" i="1"/>
  <c r="J2363" i="1"/>
  <c r="A2364" i="1"/>
  <c r="B2364" i="1"/>
  <c r="C2364" i="1"/>
  <c r="D2364" i="1"/>
  <c r="I2364" i="1"/>
  <c r="J2364" i="1"/>
  <c r="A2365" i="1"/>
  <c r="B2365" i="1"/>
  <c r="C2365" i="1"/>
  <c r="D2365" i="1"/>
  <c r="I2365" i="1"/>
  <c r="J2365" i="1"/>
  <c r="A2366" i="1"/>
  <c r="B2366" i="1"/>
  <c r="C2366" i="1"/>
  <c r="D2366" i="1"/>
  <c r="E2366" i="1" s="1"/>
  <c r="I2366" i="1"/>
  <c r="J2366" i="1"/>
  <c r="A2367" i="1"/>
  <c r="B2367" i="1"/>
  <c r="C2367" i="1"/>
  <c r="D2367" i="1"/>
  <c r="I2367" i="1"/>
  <c r="J2367" i="1"/>
  <c r="A2368" i="1"/>
  <c r="B2368" i="1"/>
  <c r="C2368" i="1"/>
  <c r="D2368" i="1"/>
  <c r="E2368" i="1"/>
  <c r="I2368" i="1"/>
  <c r="J2368" i="1"/>
  <c r="A2369" i="1"/>
  <c r="B2369" i="1"/>
  <c r="C2369" i="1"/>
  <c r="D2369" i="1"/>
  <c r="E2369" i="1" s="1"/>
  <c r="I2369" i="1"/>
  <c r="J2369" i="1"/>
  <c r="A2370" i="1"/>
  <c r="B2370" i="1"/>
  <c r="C2370" i="1"/>
  <c r="D2370" i="1"/>
  <c r="E2370" i="1" s="1"/>
  <c r="I2370" i="1"/>
  <c r="J2370" i="1"/>
  <c r="A2371" i="1"/>
  <c r="B2371" i="1"/>
  <c r="C2371" i="1"/>
  <c r="D2371" i="1"/>
  <c r="I2371" i="1"/>
  <c r="J2371" i="1"/>
  <c r="A2372" i="1"/>
  <c r="B2372" i="1"/>
  <c r="C2372" i="1"/>
  <c r="D2372" i="1"/>
  <c r="I2372" i="1"/>
  <c r="J2372" i="1"/>
  <c r="A2373" i="1"/>
  <c r="B2373" i="1"/>
  <c r="C2373" i="1"/>
  <c r="D2373" i="1"/>
  <c r="I2373" i="1"/>
  <c r="J2373" i="1"/>
  <c r="A2374" i="1"/>
  <c r="B2374" i="1"/>
  <c r="C2374" i="1"/>
  <c r="D2374" i="1"/>
  <c r="E2374" i="1" s="1"/>
  <c r="I2374" i="1"/>
  <c r="J2374" i="1"/>
  <c r="A2375" i="1"/>
  <c r="B2375" i="1"/>
  <c r="C2375" i="1"/>
  <c r="D2375" i="1"/>
  <c r="I2375" i="1"/>
  <c r="J2375" i="1"/>
  <c r="A2376" i="1"/>
  <c r="B2376" i="1"/>
  <c r="C2376" i="1"/>
  <c r="D2376" i="1"/>
  <c r="I2376" i="1"/>
  <c r="J2376" i="1"/>
  <c r="A2377" i="1"/>
  <c r="B2377" i="1"/>
  <c r="C2377" i="1"/>
  <c r="D2377" i="1"/>
  <c r="I2377" i="1"/>
  <c r="J2377" i="1"/>
  <c r="A2378" i="1"/>
  <c r="B2378" i="1"/>
  <c r="C2378" i="1"/>
  <c r="D2378" i="1"/>
  <c r="I2378" i="1"/>
  <c r="J2378" i="1"/>
  <c r="A2379" i="1"/>
  <c r="B2379" i="1"/>
  <c r="C2379" i="1"/>
  <c r="D2379" i="1"/>
  <c r="I2379" i="1"/>
  <c r="J2379" i="1"/>
  <c r="A2380" i="1"/>
  <c r="B2380" i="1"/>
  <c r="C2380" i="1"/>
  <c r="D2380" i="1"/>
  <c r="I2380" i="1"/>
  <c r="J2380" i="1"/>
  <c r="A2381" i="1"/>
  <c r="B2381" i="1"/>
  <c r="C2381" i="1"/>
  <c r="D2381" i="1"/>
  <c r="I2381" i="1"/>
  <c r="J2381" i="1"/>
  <c r="A2382" i="1"/>
  <c r="B2382" i="1"/>
  <c r="C2382" i="1"/>
  <c r="D2382" i="1"/>
  <c r="I2382" i="1"/>
  <c r="J2382" i="1"/>
  <c r="A2383" i="1"/>
  <c r="B2383" i="1"/>
  <c r="C2383" i="1"/>
  <c r="D2383" i="1"/>
  <c r="I2383" i="1"/>
  <c r="J2383" i="1"/>
  <c r="A2384" i="1"/>
  <c r="B2384" i="1"/>
  <c r="C2384" i="1"/>
  <c r="D2384" i="1"/>
  <c r="I2384" i="1"/>
  <c r="J2384" i="1"/>
  <c r="A2385" i="1"/>
  <c r="B2385" i="1"/>
  <c r="C2385" i="1"/>
  <c r="D2385" i="1"/>
  <c r="I2385" i="1"/>
  <c r="J2385" i="1"/>
  <c r="A2386" i="1"/>
  <c r="B2386" i="1"/>
  <c r="C2386" i="1"/>
  <c r="D2386" i="1"/>
  <c r="I2386" i="1"/>
  <c r="J2386" i="1"/>
  <c r="A2387" i="1"/>
  <c r="B2387" i="1"/>
  <c r="C2387" i="1"/>
  <c r="D2387" i="1"/>
  <c r="I2387" i="1"/>
  <c r="J2387" i="1"/>
  <c r="A2388" i="1"/>
  <c r="B2388" i="1"/>
  <c r="C2388" i="1"/>
  <c r="D2388" i="1"/>
  <c r="I2388" i="1"/>
  <c r="J2388" i="1"/>
  <c r="A2389" i="1"/>
  <c r="B2389" i="1"/>
  <c r="C2389" i="1"/>
  <c r="D2389" i="1"/>
  <c r="I2389" i="1"/>
  <c r="J2389" i="1"/>
  <c r="A2390" i="1"/>
  <c r="B2390" i="1"/>
  <c r="C2390" i="1"/>
  <c r="D2390" i="1"/>
  <c r="I2390" i="1"/>
  <c r="J2390" i="1"/>
  <c r="A2391" i="1"/>
  <c r="B2391" i="1"/>
  <c r="C2391" i="1"/>
  <c r="D2391" i="1"/>
  <c r="I2391" i="1"/>
  <c r="J2391" i="1"/>
  <c r="A2392" i="1"/>
  <c r="B2392" i="1"/>
  <c r="C2392" i="1"/>
  <c r="D2392" i="1"/>
  <c r="I2392" i="1"/>
  <c r="J2392" i="1"/>
  <c r="A2393" i="1"/>
  <c r="B2393" i="1"/>
  <c r="C2393" i="1"/>
  <c r="D2393" i="1"/>
  <c r="I2393" i="1"/>
  <c r="J2393" i="1"/>
  <c r="A2394" i="1"/>
  <c r="B2394" i="1"/>
  <c r="C2394" i="1"/>
  <c r="D2394" i="1"/>
  <c r="I2394" i="1"/>
  <c r="J2394" i="1"/>
  <c r="A2395" i="1"/>
  <c r="B2395" i="1"/>
  <c r="C2395" i="1"/>
  <c r="D2395" i="1"/>
  <c r="I2395" i="1"/>
  <c r="J2395" i="1"/>
  <c r="A2396" i="1"/>
  <c r="B2396" i="1"/>
  <c r="C2396" i="1"/>
  <c r="D2396" i="1"/>
  <c r="I2396" i="1"/>
  <c r="J2396" i="1"/>
  <c r="A2397" i="1"/>
  <c r="B2397" i="1"/>
  <c r="C2397" i="1"/>
  <c r="E2397" i="1"/>
  <c r="I2397" i="1"/>
  <c r="J2397" i="1"/>
  <c r="A2398" i="1"/>
  <c r="B2398" i="1"/>
  <c r="C2398" i="1"/>
  <c r="D2398" i="1"/>
  <c r="E2398" i="1" s="1"/>
  <c r="I2398" i="1"/>
  <c r="J2398" i="1"/>
  <c r="A2399" i="1"/>
  <c r="B2399" i="1"/>
  <c r="C2399" i="1"/>
  <c r="D2399" i="1"/>
  <c r="I2399" i="1"/>
  <c r="J2399" i="1"/>
  <c r="A2400" i="1"/>
  <c r="B2400" i="1"/>
  <c r="C2400" i="1"/>
  <c r="D2400" i="1"/>
  <c r="E2400" i="1"/>
  <c r="I2400" i="1"/>
  <c r="J2400" i="1"/>
  <c r="A2401" i="1"/>
  <c r="B2401" i="1"/>
  <c r="C2401" i="1"/>
  <c r="D2401" i="1"/>
  <c r="I2401" i="1"/>
  <c r="J2401" i="1"/>
  <c r="A2402" i="1"/>
  <c r="B2402" i="1"/>
  <c r="C2402" i="1"/>
  <c r="D2402" i="1"/>
  <c r="E2402" i="1" s="1"/>
  <c r="I2402" i="1"/>
  <c r="J2402" i="1"/>
  <c r="A2403" i="1"/>
  <c r="B2403" i="1"/>
  <c r="C2403" i="1"/>
  <c r="D2403" i="1"/>
  <c r="I2403" i="1"/>
  <c r="J2403" i="1"/>
  <c r="A2404" i="1"/>
  <c r="B2404" i="1"/>
  <c r="C2404" i="1"/>
  <c r="D2404" i="1"/>
  <c r="E2404" i="1" s="1"/>
  <c r="I2404" i="1"/>
  <c r="J2404" i="1"/>
  <c r="A2405" i="1"/>
  <c r="B2405" i="1"/>
  <c r="C2405" i="1"/>
  <c r="D2405" i="1"/>
  <c r="I2405" i="1"/>
  <c r="J2405" i="1"/>
  <c r="A2406" i="1"/>
  <c r="B2406" i="1"/>
  <c r="C2406" i="1"/>
  <c r="D2406" i="1"/>
  <c r="E2406" i="1" s="1"/>
  <c r="I2406" i="1"/>
  <c r="J2406" i="1"/>
  <c r="A2407" i="1"/>
  <c r="B2407" i="1"/>
  <c r="C2407" i="1"/>
  <c r="D2407" i="1"/>
  <c r="I2407" i="1"/>
  <c r="J2407" i="1"/>
  <c r="A2408" i="1"/>
  <c r="B2408" i="1"/>
  <c r="C2408" i="1"/>
  <c r="D2408" i="1"/>
  <c r="E2408" i="1"/>
  <c r="I2408" i="1"/>
  <c r="J2408" i="1"/>
  <c r="A2409" i="1"/>
  <c r="B2409" i="1"/>
  <c r="C2409" i="1"/>
  <c r="D2409" i="1"/>
  <c r="I2409" i="1"/>
  <c r="J2409" i="1"/>
  <c r="A2410" i="1"/>
  <c r="B2410" i="1"/>
  <c r="C2410" i="1"/>
  <c r="D2410" i="1"/>
  <c r="E2410" i="1" s="1"/>
  <c r="I2410" i="1"/>
  <c r="J2410" i="1"/>
  <c r="A2411" i="1"/>
  <c r="B2411" i="1"/>
  <c r="C2411" i="1"/>
  <c r="D2411" i="1"/>
  <c r="I2411" i="1"/>
  <c r="J2411" i="1"/>
  <c r="A2412" i="1"/>
  <c r="B2412" i="1"/>
  <c r="C2412" i="1"/>
  <c r="D2412" i="1"/>
  <c r="E2412" i="1" s="1"/>
  <c r="I2412" i="1"/>
  <c r="J2412" i="1"/>
  <c r="A2413" i="1"/>
  <c r="B2413" i="1"/>
  <c r="C2413" i="1"/>
  <c r="D2413" i="1"/>
  <c r="I2413" i="1"/>
  <c r="J2413" i="1"/>
  <c r="A2414" i="1"/>
  <c r="B2414" i="1"/>
  <c r="C2414" i="1"/>
  <c r="D2414" i="1"/>
  <c r="E2414" i="1" s="1"/>
  <c r="I2414" i="1"/>
  <c r="J2414" i="1"/>
  <c r="A2415" i="1"/>
  <c r="B2415" i="1"/>
  <c r="C2415" i="1"/>
  <c r="D2415" i="1"/>
  <c r="I2415" i="1"/>
  <c r="J2415" i="1"/>
  <c r="A2416" i="1"/>
  <c r="B2416" i="1"/>
  <c r="C2416" i="1"/>
  <c r="D2416" i="1"/>
  <c r="E2416" i="1"/>
  <c r="I2416" i="1"/>
  <c r="J2416" i="1"/>
  <c r="A2417" i="1"/>
  <c r="B2417" i="1"/>
  <c r="C2417" i="1"/>
  <c r="D2417" i="1"/>
  <c r="I2417" i="1"/>
  <c r="J2417" i="1"/>
  <c r="A2418" i="1"/>
  <c r="B2418" i="1"/>
  <c r="C2418" i="1"/>
  <c r="D2418" i="1"/>
  <c r="E2418" i="1" s="1"/>
  <c r="I2418" i="1"/>
  <c r="J2418" i="1"/>
  <c r="A2419" i="1"/>
  <c r="B2419" i="1"/>
  <c r="C2419" i="1"/>
  <c r="D2419" i="1"/>
  <c r="I2419" i="1"/>
  <c r="J2419" i="1"/>
  <c r="A2420" i="1"/>
  <c r="B2420" i="1"/>
  <c r="C2420" i="1"/>
  <c r="D2420" i="1"/>
  <c r="E2420" i="1" s="1"/>
  <c r="I2420" i="1"/>
  <c r="J2420" i="1"/>
  <c r="A2421" i="1"/>
  <c r="B2421" i="1"/>
  <c r="C2421" i="1"/>
  <c r="D2421" i="1"/>
  <c r="I2421" i="1"/>
  <c r="J2421" i="1"/>
  <c r="A2422" i="1"/>
  <c r="B2422" i="1"/>
  <c r="C2422" i="1"/>
  <c r="D2422" i="1"/>
  <c r="E2422" i="1" s="1"/>
  <c r="I2422" i="1"/>
  <c r="J2422" i="1"/>
  <c r="A2423" i="1"/>
  <c r="B2423" i="1"/>
  <c r="C2423" i="1"/>
  <c r="D2423" i="1"/>
  <c r="I2423" i="1"/>
  <c r="J2423" i="1"/>
  <c r="A2424" i="1"/>
  <c r="B2424" i="1"/>
  <c r="C2424" i="1"/>
  <c r="D2424" i="1"/>
  <c r="E2424" i="1"/>
  <c r="I2424" i="1"/>
  <c r="J2424" i="1"/>
  <c r="A2425" i="1"/>
  <c r="B2425" i="1"/>
  <c r="C2425" i="1"/>
  <c r="D2425" i="1"/>
  <c r="I2425" i="1"/>
  <c r="J2425" i="1"/>
  <c r="A2426" i="1"/>
  <c r="B2426" i="1"/>
  <c r="C2426" i="1"/>
  <c r="D2426" i="1"/>
  <c r="E2426" i="1" s="1"/>
  <c r="I2426" i="1"/>
  <c r="J2426" i="1"/>
  <c r="A2427" i="1"/>
  <c r="B2427" i="1"/>
  <c r="C2427" i="1"/>
  <c r="D2427" i="1"/>
  <c r="I2427" i="1"/>
  <c r="J2427" i="1"/>
  <c r="A2428" i="1"/>
  <c r="B2428" i="1"/>
  <c r="C2428" i="1"/>
  <c r="D2428" i="1"/>
  <c r="E2428" i="1" s="1"/>
  <c r="I2428" i="1"/>
  <c r="J2428" i="1"/>
  <c r="A2429" i="1"/>
  <c r="B2429" i="1"/>
  <c r="C2429" i="1"/>
  <c r="D2429" i="1"/>
  <c r="I2429" i="1"/>
  <c r="J2429" i="1"/>
  <c r="A2430" i="1"/>
  <c r="B2430" i="1"/>
  <c r="C2430" i="1"/>
  <c r="D2430" i="1"/>
  <c r="E2430" i="1" s="1"/>
  <c r="I2430" i="1"/>
  <c r="J2430" i="1"/>
  <c r="A2431" i="1"/>
  <c r="B2431" i="1"/>
  <c r="C2431" i="1"/>
  <c r="D2431" i="1"/>
  <c r="I2431" i="1"/>
  <c r="J2431" i="1"/>
  <c r="A2432" i="1"/>
  <c r="B2432" i="1"/>
  <c r="C2432" i="1"/>
  <c r="D2432" i="1"/>
  <c r="E2432" i="1"/>
  <c r="I2432" i="1"/>
  <c r="J2432" i="1"/>
  <c r="A2433" i="1"/>
  <c r="B2433" i="1"/>
  <c r="C2433" i="1"/>
  <c r="D2433" i="1"/>
  <c r="I2433" i="1"/>
  <c r="J2433" i="1"/>
  <c r="A2434" i="1"/>
  <c r="B2434" i="1"/>
  <c r="C2434" i="1"/>
  <c r="D2434" i="1"/>
  <c r="E2434" i="1" s="1"/>
  <c r="I2434" i="1"/>
  <c r="J2434" i="1"/>
  <c r="A2435" i="1"/>
  <c r="B2435" i="1"/>
  <c r="C2435" i="1"/>
  <c r="D2435" i="1"/>
  <c r="I2435" i="1"/>
  <c r="J2435" i="1"/>
  <c r="A2436" i="1"/>
  <c r="B2436" i="1"/>
  <c r="C2436" i="1"/>
  <c r="D2436" i="1"/>
  <c r="E2436" i="1" s="1"/>
  <c r="I2436" i="1"/>
  <c r="J2436" i="1"/>
  <c r="A2437" i="1"/>
  <c r="B2437" i="1"/>
  <c r="C2437" i="1"/>
  <c r="D2437" i="1"/>
  <c r="I2437" i="1"/>
  <c r="J2437" i="1"/>
  <c r="A2438" i="1"/>
  <c r="B2438" i="1"/>
  <c r="C2438" i="1"/>
  <c r="D2438" i="1"/>
  <c r="E2438" i="1" s="1"/>
  <c r="I2438" i="1"/>
  <c r="J2438" i="1"/>
  <c r="A2439" i="1"/>
  <c r="B2439" i="1"/>
  <c r="C2439" i="1"/>
  <c r="D2439" i="1"/>
  <c r="I2439" i="1"/>
  <c r="J2439" i="1"/>
  <c r="A2440" i="1"/>
  <c r="B2440" i="1"/>
  <c r="C2440" i="1"/>
  <c r="D2440" i="1"/>
  <c r="E2440" i="1"/>
  <c r="I2440" i="1"/>
  <c r="J2440" i="1"/>
  <c r="A2441" i="1"/>
  <c r="B2441" i="1"/>
  <c r="C2441" i="1"/>
  <c r="D2441" i="1"/>
  <c r="I2441" i="1"/>
  <c r="J2441" i="1"/>
  <c r="A2442" i="1"/>
  <c r="B2442" i="1"/>
  <c r="C2442" i="1"/>
  <c r="D2442" i="1"/>
  <c r="E2442" i="1" s="1"/>
  <c r="I2442" i="1"/>
  <c r="J2442" i="1"/>
  <c r="A2443" i="1"/>
  <c r="B2443" i="1"/>
  <c r="C2443" i="1"/>
  <c r="D2443" i="1"/>
  <c r="I2443" i="1"/>
  <c r="J2443" i="1"/>
  <c r="A2444" i="1"/>
  <c r="B2444" i="1"/>
  <c r="C2444" i="1"/>
  <c r="D2444" i="1"/>
  <c r="E2444" i="1" s="1"/>
  <c r="I2444" i="1"/>
  <c r="J2444" i="1"/>
  <c r="A2445" i="1"/>
  <c r="B2445" i="1"/>
  <c r="C2445" i="1"/>
  <c r="D2445" i="1"/>
  <c r="I2445" i="1"/>
  <c r="J2445" i="1"/>
  <c r="A2446" i="1"/>
  <c r="B2446" i="1"/>
  <c r="C2446" i="1"/>
  <c r="D2446" i="1"/>
  <c r="E2446" i="1" s="1"/>
  <c r="I2446" i="1"/>
  <c r="J2446" i="1"/>
  <c r="A2447" i="1"/>
  <c r="B2447" i="1"/>
  <c r="C2447" i="1"/>
  <c r="D2447" i="1"/>
  <c r="I2447" i="1"/>
  <c r="J2447" i="1"/>
  <c r="A2448" i="1"/>
  <c r="B2448" i="1"/>
  <c r="C2448" i="1"/>
  <c r="D2448" i="1"/>
  <c r="E2448" i="1"/>
  <c r="I2448" i="1"/>
  <c r="J2448" i="1"/>
  <c r="A2449" i="1"/>
  <c r="B2449" i="1"/>
  <c r="C2449" i="1"/>
  <c r="D2449" i="1"/>
  <c r="I2449" i="1"/>
  <c r="J2449" i="1"/>
  <c r="A2450" i="1"/>
  <c r="B2450" i="1"/>
  <c r="C2450" i="1"/>
  <c r="D2450" i="1"/>
  <c r="E2450" i="1" s="1"/>
  <c r="I2450" i="1"/>
  <c r="J2450" i="1"/>
  <c r="A2451" i="1"/>
  <c r="B2451" i="1"/>
  <c r="C2451" i="1"/>
  <c r="D2451" i="1"/>
  <c r="I2451" i="1"/>
  <c r="J2451" i="1"/>
  <c r="A2452" i="1"/>
  <c r="B2452" i="1"/>
  <c r="C2452" i="1"/>
  <c r="D2452" i="1"/>
  <c r="E2452" i="1" s="1"/>
  <c r="I2452" i="1"/>
  <c r="J2452" i="1"/>
  <c r="A2453" i="1"/>
  <c r="B2453" i="1"/>
  <c r="C2453" i="1"/>
  <c r="D2453" i="1"/>
  <c r="I2453" i="1"/>
  <c r="J2453" i="1"/>
  <c r="A2454" i="1"/>
  <c r="B2454" i="1"/>
  <c r="C2454" i="1"/>
  <c r="D2454" i="1"/>
  <c r="E2454" i="1" s="1"/>
  <c r="I2454" i="1"/>
  <c r="J2454" i="1"/>
  <c r="A2455" i="1"/>
  <c r="B2455" i="1"/>
  <c r="C2455" i="1"/>
  <c r="D2455" i="1"/>
  <c r="I2455" i="1"/>
  <c r="J2455" i="1"/>
  <c r="A2456" i="1"/>
  <c r="B2456" i="1"/>
  <c r="C2456" i="1"/>
  <c r="D2456" i="1"/>
  <c r="E2456" i="1"/>
  <c r="I2456" i="1"/>
  <c r="J2456" i="1"/>
  <c r="A2457" i="1"/>
  <c r="B2457" i="1"/>
  <c r="C2457" i="1"/>
  <c r="D2457" i="1"/>
  <c r="I2457" i="1"/>
  <c r="J2457" i="1"/>
  <c r="A2458" i="1"/>
  <c r="B2458" i="1"/>
  <c r="C2458" i="1"/>
  <c r="D2458" i="1"/>
  <c r="E2458" i="1" s="1"/>
  <c r="I2458" i="1"/>
  <c r="J2458" i="1"/>
  <c r="A2459" i="1"/>
  <c r="B2459" i="1"/>
  <c r="C2459" i="1"/>
  <c r="D2459" i="1"/>
  <c r="I2459" i="1"/>
  <c r="J2459" i="1"/>
  <c r="A2460" i="1"/>
  <c r="B2460" i="1"/>
  <c r="C2460" i="1"/>
  <c r="D2460" i="1"/>
  <c r="E2460" i="1" s="1"/>
  <c r="I2460" i="1"/>
  <c r="J2460" i="1"/>
  <c r="A2461" i="1"/>
  <c r="B2461" i="1"/>
  <c r="C2461" i="1"/>
  <c r="D2461" i="1"/>
  <c r="I2461" i="1"/>
  <c r="J2461" i="1"/>
  <c r="A2462" i="1"/>
  <c r="B2462" i="1"/>
  <c r="C2462" i="1"/>
  <c r="D2462" i="1"/>
  <c r="E2462" i="1" s="1"/>
  <c r="I2462" i="1"/>
  <c r="J2462" i="1"/>
  <c r="A2463" i="1"/>
  <c r="B2463" i="1"/>
  <c r="C2463" i="1"/>
  <c r="D2463" i="1"/>
  <c r="I2463" i="1"/>
  <c r="J2463" i="1"/>
  <c r="A2464" i="1"/>
  <c r="B2464" i="1"/>
  <c r="C2464" i="1"/>
  <c r="D2464" i="1"/>
  <c r="E2464" i="1"/>
  <c r="I2464" i="1"/>
  <c r="J2464" i="1"/>
  <c r="A2465" i="1"/>
  <c r="B2465" i="1"/>
  <c r="C2465" i="1"/>
  <c r="D2465" i="1"/>
  <c r="I2465" i="1"/>
  <c r="J2465" i="1"/>
  <c r="A2466" i="1"/>
  <c r="B2466" i="1"/>
  <c r="C2466" i="1"/>
  <c r="D2466" i="1"/>
  <c r="E2466" i="1" s="1"/>
  <c r="I2466" i="1"/>
  <c r="J2466" i="1"/>
  <c r="A2467" i="1"/>
  <c r="B2467" i="1"/>
  <c r="C2467" i="1"/>
  <c r="D2467" i="1"/>
  <c r="I2467" i="1"/>
  <c r="J2467" i="1"/>
  <c r="A2468" i="1"/>
  <c r="B2468" i="1"/>
  <c r="C2468" i="1"/>
  <c r="D2468" i="1"/>
  <c r="E2468" i="1" s="1"/>
  <c r="I2468" i="1"/>
  <c r="J2468" i="1"/>
  <c r="A2469" i="1"/>
  <c r="B2469" i="1"/>
  <c r="C2469" i="1"/>
  <c r="D2469" i="1"/>
  <c r="I2469" i="1"/>
  <c r="J2469" i="1"/>
  <c r="A2470" i="1"/>
  <c r="B2470" i="1"/>
  <c r="C2470" i="1"/>
  <c r="D2470" i="1"/>
  <c r="E2470" i="1" s="1"/>
  <c r="I2470" i="1"/>
  <c r="J2470" i="1"/>
  <c r="A2471" i="1"/>
  <c r="B2471" i="1"/>
  <c r="C2471" i="1"/>
  <c r="D2471" i="1"/>
  <c r="I2471" i="1"/>
  <c r="J2471" i="1"/>
  <c r="A2472" i="1"/>
  <c r="B2472" i="1"/>
  <c r="C2472" i="1"/>
  <c r="D2472" i="1"/>
  <c r="E2472" i="1"/>
  <c r="I2472" i="1"/>
  <c r="J2472" i="1"/>
  <c r="A2473" i="1"/>
  <c r="B2473" i="1"/>
  <c r="C2473" i="1"/>
  <c r="D2473" i="1"/>
  <c r="I2473" i="1"/>
  <c r="J2473" i="1"/>
  <c r="A2474" i="1"/>
  <c r="B2474" i="1"/>
  <c r="C2474" i="1"/>
  <c r="D2474" i="1"/>
  <c r="E2474" i="1" s="1"/>
  <c r="I2474" i="1"/>
  <c r="J2474" i="1"/>
  <c r="A2475" i="1"/>
  <c r="B2475" i="1"/>
  <c r="C2475" i="1"/>
  <c r="D2475" i="1"/>
  <c r="I2475" i="1"/>
  <c r="J2475" i="1"/>
  <c r="A2476" i="1"/>
  <c r="B2476" i="1"/>
  <c r="C2476" i="1"/>
  <c r="D2476" i="1"/>
  <c r="E2476" i="1" s="1"/>
  <c r="I2476" i="1"/>
  <c r="J2476" i="1"/>
  <c r="A2477" i="1"/>
  <c r="B2477" i="1"/>
  <c r="C2477" i="1"/>
  <c r="D2477" i="1"/>
  <c r="I2477" i="1"/>
  <c r="J2477" i="1"/>
  <c r="A2478" i="1"/>
  <c r="B2478" i="1"/>
  <c r="C2478" i="1"/>
  <c r="D2478" i="1"/>
  <c r="E2478" i="1" s="1"/>
  <c r="I2478" i="1"/>
  <c r="J2478" i="1"/>
  <c r="A2479" i="1"/>
  <c r="B2479" i="1"/>
  <c r="C2479" i="1"/>
  <c r="D2479" i="1"/>
  <c r="I2479" i="1"/>
  <c r="J2479" i="1"/>
  <c r="A2480" i="1"/>
  <c r="B2480" i="1"/>
  <c r="C2480" i="1"/>
  <c r="D2480" i="1"/>
  <c r="E2480" i="1"/>
  <c r="I2480" i="1"/>
  <c r="J2480" i="1"/>
  <c r="A2481" i="1"/>
  <c r="B2481" i="1"/>
  <c r="C2481" i="1"/>
  <c r="D2481" i="1"/>
  <c r="I2481" i="1"/>
  <c r="J2481" i="1"/>
  <c r="A2482" i="1"/>
  <c r="B2482" i="1"/>
  <c r="C2482" i="1"/>
  <c r="D2482" i="1"/>
  <c r="E2482" i="1" s="1"/>
  <c r="I2482" i="1"/>
  <c r="J2482" i="1"/>
  <c r="A2483" i="1"/>
  <c r="B2483" i="1"/>
  <c r="C2483" i="1"/>
  <c r="D2483" i="1"/>
  <c r="I2483" i="1"/>
  <c r="J2483" i="1"/>
  <c r="A2484" i="1"/>
  <c r="B2484" i="1"/>
  <c r="C2484" i="1"/>
  <c r="D2484" i="1"/>
  <c r="E2484" i="1" s="1"/>
  <c r="I2484" i="1"/>
  <c r="J2484" i="1"/>
  <c r="A2485" i="1"/>
  <c r="B2485" i="1"/>
  <c r="C2485" i="1"/>
  <c r="D2485" i="1"/>
  <c r="I2485" i="1"/>
  <c r="J2485" i="1"/>
  <c r="A2486" i="1"/>
  <c r="B2486" i="1"/>
  <c r="C2486" i="1"/>
  <c r="D2486" i="1"/>
  <c r="E2486" i="1" s="1"/>
  <c r="I2486" i="1"/>
  <c r="J2486" i="1"/>
  <c r="A2487" i="1"/>
  <c r="B2487" i="1"/>
  <c r="C2487" i="1"/>
  <c r="D2487" i="1"/>
  <c r="I2487" i="1"/>
  <c r="J2487" i="1"/>
  <c r="A2488" i="1"/>
  <c r="B2488" i="1"/>
  <c r="C2488" i="1"/>
  <c r="D2488" i="1"/>
  <c r="E2488" i="1"/>
  <c r="I2488" i="1"/>
  <c r="J2488" i="1"/>
  <c r="A2489" i="1"/>
  <c r="B2489" i="1"/>
  <c r="C2489" i="1"/>
  <c r="D2489" i="1"/>
  <c r="I2489" i="1"/>
  <c r="J2489" i="1"/>
  <c r="A2490" i="1"/>
  <c r="B2490" i="1"/>
  <c r="C2490" i="1"/>
  <c r="D2490" i="1"/>
  <c r="E2490" i="1" s="1"/>
  <c r="I2490" i="1"/>
  <c r="J2490" i="1"/>
  <c r="A2491" i="1"/>
  <c r="B2491" i="1"/>
  <c r="C2491" i="1"/>
  <c r="D2491" i="1"/>
  <c r="I2491" i="1"/>
  <c r="J2491" i="1"/>
  <c r="A2492" i="1"/>
  <c r="B2492" i="1"/>
  <c r="C2492" i="1"/>
  <c r="D2492" i="1"/>
  <c r="E2492" i="1" s="1"/>
  <c r="I2492" i="1"/>
  <c r="J2492" i="1"/>
  <c r="A2493" i="1"/>
  <c r="B2493" i="1"/>
  <c r="C2493" i="1"/>
  <c r="D2493" i="1"/>
  <c r="I2493" i="1"/>
  <c r="J2493" i="1"/>
  <c r="A2494" i="1"/>
  <c r="B2494" i="1"/>
  <c r="C2494" i="1"/>
  <c r="D2494" i="1"/>
  <c r="E2494" i="1" s="1"/>
  <c r="I2494" i="1"/>
  <c r="J2494" i="1"/>
  <c r="A2495" i="1"/>
  <c r="B2495" i="1"/>
  <c r="C2495" i="1"/>
  <c r="D2495" i="1"/>
  <c r="I2495" i="1"/>
  <c r="J2495" i="1"/>
  <c r="A2496" i="1"/>
  <c r="B2496" i="1"/>
  <c r="C2496" i="1"/>
  <c r="D2496" i="1"/>
  <c r="E2496" i="1"/>
  <c r="I2496" i="1"/>
  <c r="J2496" i="1"/>
  <c r="A2497" i="1"/>
  <c r="B2497" i="1"/>
  <c r="C2497" i="1"/>
  <c r="D2497" i="1"/>
  <c r="I2497" i="1"/>
  <c r="J2497" i="1"/>
  <c r="A2498" i="1"/>
  <c r="B2498" i="1"/>
  <c r="C2498" i="1"/>
  <c r="D2498" i="1"/>
  <c r="E2498" i="1" s="1"/>
  <c r="I2498" i="1"/>
  <c r="J2498" i="1"/>
  <c r="A2499" i="1"/>
  <c r="B2499" i="1"/>
  <c r="C2499" i="1"/>
  <c r="D2499" i="1"/>
  <c r="I2499" i="1"/>
  <c r="J2499" i="1"/>
  <c r="A2500" i="1"/>
  <c r="B2500" i="1"/>
  <c r="C2500" i="1"/>
  <c r="D2500" i="1"/>
  <c r="E2500" i="1" s="1"/>
  <c r="I2500" i="1"/>
  <c r="J2500" i="1"/>
  <c r="A2501" i="1"/>
  <c r="B2501" i="1"/>
  <c r="C2501" i="1"/>
  <c r="D2501" i="1"/>
  <c r="I2501" i="1"/>
  <c r="J2501" i="1"/>
  <c r="A2502" i="1"/>
  <c r="B2502" i="1"/>
  <c r="C2502" i="1"/>
  <c r="D2502" i="1"/>
  <c r="E2502" i="1" s="1"/>
  <c r="I2502" i="1"/>
  <c r="J2502" i="1"/>
  <c r="A2503" i="1"/>
  <c r="B2503" i="1"/>
  <c r="C2503" i="1"/>
  <c r="D2503" i="1"/>
  <c r="I2503" i="1"/>
  <c r="J2503" i="1"/>
  <c r="A2504" i="1"/>
  <c r="B2504" i="1"/>
  <c r="C2504" i="1"/>
  <c r="D2504" i="1"/>
  <c r="E2504" i="1"/>
  <c r="I2504" i="1"/>
  <c r="J2504" i="1"/>
  <c r="A2505" i="1"/>
  <c r="B2505" i="1"/>
  <c r="C2505" i="1"/>
  <c r="D2505" i="1"/>
  <c r="I2505" i="1"/>
  <c r="J2505" i="1"/>
  <c r="A2506" i="1"/>
  <c r="B2506" i="1"/>
  <c r="C2506" i="1"/>
  <c r="D2506" i="1"/>
  <c r="E2506" i="1" s="1"/>
  <c r="I2506" i="1"/>
  <c r="J2506" i="1"/>
  <c r="A2507" i="1"/>
  <c r="B2507" i="1"/>
  <c r="C2507" i="1"/>
  <c r="D2507" i="1"/>
  <c r="I2507" i="1"/>
  <c r="J2507" i="1"/>
  <c r="A2508" i="1"/>
  <c r="B2508" i="1"/>
  <c r="C2508" i="1"/>
  <c r="D2508" i="1"/>
  <c r="E2508" i="1" s="1"/>
  <c r="I2508" i="1"/>
  <c r="J2508" i="1"/>
  <c r="A2509" i="1"/>
  <c r="B2509" i="1"/>
  <c r="C2509" i="1"/>
  <c r="D2509" i="1"/>
  <c r="I2509" i="1"/>
  <c r="J2509" i="1"/>
  <c r="A2510" i="1"/>
  <c r="B2510" i="1"/>
  <c r="C2510" i="1"/>
  <c r="D2510" i="1"/>
  <c r="E2510" i="1"/>
  <c r="I2510" i="1"/>
  <c r="J2510" i="1"/>
  <c r="A2511" i="1"/>
  <c r="B2511" i="1"/>
  <c r="C2511" i="1"/>
  <c r="D2511" i="1"/>
  <c r="I2511" i="1"/>
  <c r="J2511" i="1"/>
  <c r="A2512" i="1"/>
  <c r="B2512" i="1"/>
  <c r="C2512" i="1"/>
  <c r="D2512" i="1"/>
  <c r="E2512" i="1" s="1"/>
  <c r="I2512" i="1"/>
  <c r="J2512" i="1"/>
  <c r="A2513" i="1"/>
  <c r="B2513" i="1"/>
  <c r="C2513" i="1"/>
  <c r="D2513" i="1"/>
  <c r="I2513" i="1"/>
  <c r="J2513" i="1"/>
  <c r="A2514" i="1"/>
  <c r="B2514" i="1"/>
  <c r="C2514" i="1"/>
  <c r="D2514" i="1"/>
  <c r="E2514" i="1" s="1"/>
  <c r="I2514" i="1"/>
  <c r="J2514" i="1"/>
  <c r="A2515" i="1"/>
  <c r="B2515" i="1"/>
  <c r="C2515" i="1"/>
  <c r="D2515" i="1"/>
  <c r="I2515" i="1"/>
  <c r="J2515" i="1"/>
  <c r="A2516" i="1"/>
  <c r="B2516" i="1"/>
  <c r="C2516" i="1"/>
  <c r="D2516" i="1"/>
  <c r="E2516" i="1"/>
  <c r="I2516" i="1"/>
  <c r="J2516" i="1"/>
  <c r="A2517" i="1"/>
  <c r="B2517" i="1"/>
  <c r="C2517" i="1"/>
  <c r="D2517" i="1"/>
  <c r="I2517" i="1"/>
  <c r="J2517" i="1"/>
  <c r="A2518" i="1"/>
  <c r="B2518" i="1"/>
  <c r="C2518" i="1"/>
  <c r="D2518" i="1"/>
  <c r="E2518" i="1" s="1"/>
  <c r="I2518" i="1"/>
  <c r="J2518" i="1"/>
  <c r="A2519" i="1"/>
  <c r="B2519" i="1"/>
  <c r="C2519" i="1"/>
  <c r="D2519" i="1"/>
  <c r="I2519" i="1"/>
  <c r="J2519" i="1"/>
  <c r="A2520" i="1"/>
  <c r="B2520" i="1"/>
  <c r="C2520" i="1"/>
  <c r="D2520" i="1"/>
  <c r="E2520" i="1"/>
  <c r="I2520" i="1"/>
  <c r="J2520" i="1"/>
  <c r="A2521" i="1"/>
  <c r="B2521" i="1"/>
  <c r="C2521" i="1"/>
  <c r="D2521" i="1"/>
  <c r="I2521" i="1"/>
  <c r="J2521" i="1"/>
  <c r="A2522" i="1"/>
  <c r="B2522" i="1"/>
  <c r="C2522" i="1"/>
  <c r="D2522" i="1"/>
  <c r="E2522" i="1" s="1"/>
  <c r="I2522" i="1"/>
  <c r="J2522" i="1"/>
  <c r="A2523" i="1"/>
  <c r="B2523" i="1"/>
  <c r="C2523" i="1"/>
  <c r="D2523" i="1"/>
  <c r="I2523" i="1"/>
  <c r="J2523" i="1"/>
  <c r="A2524" i="1"/>
  <c r="B2524" i="1"/>
  <c r="C2524" i="1"/>
  <c r="D2524" i="1"/>
  <c r="E2524" i="1" s="1"/>
  <c r="I2524" i="1"/>
  <c r="J2524" i="1"/>
  <c r="A2525" i="1"/>
  <c r="B2525" i="1"/>
  <c r="C2525" i="1"/>
  <c r="D2525" i="1"/>
  <c r="I2525" i="1"/>
  <c r="J2525" i="1"/>
  <c r="A2526" i="1"/>
  <c r="B2526" i="1"/>
  <c r="C2526" i="1"/>
  <c r="E2526" i="1"/>
  <c r="I2526" i="1"/>
  <c r="J2526" i="1"/>
  <c r="A2527" i="1"/>
  <c r="B2527" i="1"/>
  <c r="C2527" i="1"/>
  <c r="E2527" i="1"/>
  <c r="I2527" i="1"/>
  <c r="J2527" i="1"/>
  <c r="A2528" i="1"/>
  <c r="B2528" i="1"/>
  <c r="C2528" i="1"/>
  <c r="E2528" i="1"/>
  <c r="I2528" i="1"/>
  <c r="J2528" i="1"/>
  <c r="A2529" i="1"/>
  <c r="B2529" i="1"/>
  <c r="C2529" i="1"/>
  <c r="E2529" i="1"/>
  <c r="I2529" i="1"/>
  <c r="J2529" i="1"/>
  <c r="A2530" i="1"/>
  <c r="B2530" i="1"/>
  <c r="C2530" i="1"/>
  <c r="E2530" i="1"/>
  <c r="I2530" i="1"/>
  <c r="J2530" i="1"/>
  <c r="A2531" i="1"/>
  <c r="B2531" i="1"/>
  <c r="C2531" i="1"/>
  <c r="E2531" i="1"/>
  <c r="I2531" i="1"/>
  <c r="J2531" i="1"/>
  <c r="A2532" i="1"/>
  <c r="B2532" i="1"/>
  <c r="C2532" i="1"/>
  <c r="E2532" i="1"/>
  <c r="I2532" i="1"/>
  <c r="J2532" i="1"/>
  <c r="A2533" i="1"/>
  <c r="B2533" i="1"/>
  <c r="C2533" i="1"/>
  <c r="E2533" i="1"/>
  <c r="I2533" i="1"/>
  <c r="J2533" i="1"/>
  <c r="A2534" i="1"/>
  <c r="B2534" i="1"/>
  <c r="C2534" i="1"/>
  <c r="E2534" i="1"/>
  <c r="I2534" i="1"/>
  <c r="J2534" i="1"/>
  <c r="A2535" i="1"/>
  <c r="B2535" i="1"/>
  <c r="C2535" i="1"/>
  <c r="E2535" i="1"/>
  <c r="I2535" i="1"/>
  <c r="J2535" i="1"/>
  <c r="A2536" i="1"/>
  <c r="B2536" i="1"/>
  <c r="C2536" i="1"/>
  <c r="E2536" i="1"/>
  <c r="I2536" i="1"/>
  <c r="J2536" i="1"/>
  <c r="A2537" i="1"/>
  <c r="B2537" i="1"/>
  <c r="C2537" i="1"/>
  <c r="D2537" i="1"/>
  <c r="I2537" i="1"/>
  <c r="J2537" i="1"/>
  <c r="A2538" i="1"/>
  <c r="B2538" i="1"/>
  <c r="C2538" i="1"/>
  <c r="D2538" i="1"/>
  <c r="E2538" i="1"/>
  <c r="I2538" i="1"/>
  <c r="J2538" i="1"/>
  <c r="A2539" i="1"/>
  <c r="B2539" i="1"/>
  <c r="C2539" i="1"/>
  <c r="D2539" i="1"/>
  <c r="I2539" i="1"/>
  <c r="J2539" i="1"/>
  <c r="A2540" i="1"/>
  <c r="B2540" i="1"/>
  <c r="C2540" i="1"/>
  <c r="D2540" i="1"/>
  <c r="E2540" i="1" s="1"/>
  <c r="I2540" i="1"/>
  <c r="J2540" i="1"/>
  <c r="A2541" i="1"/>
  <c r="B2541" i="1"/>
  <c r="C2541" i="1"/>
  <c r="D2541" i="1"/>
  <c r="I2541" i="1"/>
  <c r="J2541" i="1"/>
  <c r="A2542" i="1"/>
  <c r="B2542" i="1"/>
  <c r="C2542" i="1"/>
  <c r="D2542" i="1"/>
  <c r="E2542" i="1" s="1"/>
  <c r="I2542" i="1"/>
  <c r="J2542" i="1"/>
  <c r="A2543" i="1"/>
  <c r="B2543" i="1"/>
  <c r="C2543" i="1"/>
  <c r="E2543" i="1"/>
  <c r="I2543" i="1"/>
  <c r="J2543" i="1"/>
  <c r="A2544" i="1"/>
  <c r="B2544" i="1"/>
  <c r="C2544" i="1"/>
  <c r="E2544" i="1"/>
  <c r="I2544" i="1"/>
  <c r="J2544" i="1"/>
  <c r="A2545" i="1"/>
  <c r="B2545" i="1"/>
  <c r="C2545" i="1"/>
  <c r="E2545" i="1"/>
  <c r="I2545" i="1"/>
  <c r="J2545" i="1"/>
  <c r="A2546" i="1"/>
  <c r="B2546" i="1"/>
  <c r="C2546" i="1"/>
  <c r="E2546" i="1"/>
  <c r="I2546" i="1"/>
  <c r="J2546" i="1"/>
  <c r="A2547" i="1"/>
  <c r="B2547" i="1"/>
  <c r="C2547" i="1"/>
  <c r="E2547" i="1"/>
  <c r="I2547" i="1"/>
  <c r="J2547" i="1"/>
  <c r="A2548" i="1"/>
  <c r="B2548" i="1"/>
  <c r="C2548" i="1"/>
  <c r="E2548" i="1"/>
  <c r="I2548" i="1"/>
  <c r="J2548" i="1"/>
  <c r="A2549" i="1"/>
  <c r="B2549" i="1"/>
  <c r="C2549" i="1"/>
  <c r="E2549" i="1"/>
  <c r="I2549" i="1"/>
  <c r="J2549" i="1"/>
  <c r="A2550" i="1"/>
  <c r="B2550" i="1"/>
  <c r="C2550" i="1"/>
  <c r="E2550" i="1"/>
  <c r="I2550" i="1"/>
  <c r="J2550" i="1"/>
  <c r="A2551" i="1"/>
  <c r="B2551" i="1"/>
  <c r="C2551" i="1"/>
  <c r="E2551" i="1"/>
  <c r="I2551" i="1"/>
  <c r="J2551" i="1"/>
  <c r="A2552" i="1"/>
  <c r="B2552" i="1"/>
  <c r="C2552" i="1"/>
  <c r="D2552" i="1"/>
  <c r="E2552" i="1"/>
  <c r="I2552" i="1"/>
  <c r="J2552" i="1"/>
  <c r="A2553" i="1"/>
  <c r="B2553" i="1"/>
  <c r="C2553" i="1"/>
  <c r="D2553" i="1"/>
  <c r="I2553" i="1"/>
  <c r="J2553" i="1"/>
  <c r="A2554" i="1"/>
  <c r="B2554" i="1"/>
  <c r="C2554" i="1"/>
  <c r="D2554" i="1"/>
  <c r="E2554" i="1" s="1"/>
  <c r="I2554" i="1"/>
  <c r="J2554" i="1"/>
  <c r="A2555" i="1"/>
  <c r="B2555" i="1"/>
  <c r="C2555" i="1"/>
  <c r="D2555" i="1"/>
  <c r="I2555" i="1"/>
  <c r="J2555" i="1"/>
  <c r="A2556" i="1"/>
  <c r="B2556" i="1"/>
  <c r="C2556" i="1"/>
  <c r="D2556" i="1"/>
  <c r="E2556" i="1"/>
  <c r="I2556" i="1"/>
  <c r="J2556" i="1"/>
  <c r="A2557" i="1"/>
  <c r="B2557" i="1"/>
  <c r="C2557" i="1"/>
  <c r="D2557" i="1"/>
  <c r="I2557" i="1"/>
  <c r="J2557" i="1"/>
  <c r="A2558" i="1"/>
  <c r="B2558" i="1"/>
  <c r="C2558" i="1"/>
  <c r="D2558" i="1"/>
  <c r="E2558" i="1" s="1"/>
  <c r="I2558" i="1"/>
  <c r="J2558" i="1"/>
  <c r="A2559" i="1"/>
  <c r="B2559" i="1"/>
  <c r="C2559" i="1"/>
  <c r="D2559" i="1"/>
  <c r="I2559" i="1"/>
  <c r="J2559" i="1"/>
  <c r="A2560" i="1"/>
  <c r="B2560" i="1"/>
  <c r="C2560" i="1"/>
  <c r="D2560" i="1"/>
  <c r="E2560" i="1" s="1"/>
  <c r="I2560" i="1"/>
  <c r="J2560" i="1"/>
  <c r="A2561" i="1"/>
  <c r="B2561" i="1"/>
  <c r="C2561" i="1"/>
  <c r="D2561" i="1"/>
  <c r="I2561" i="1"/>
  <c r="J2561" i="1"/>
  <c r="A2562" i="1"/>
  <c r="B2562" i="1"/>
  <c r="C2562" i="1"/>
  <c r="D2562" i="1"/>
  <c r="E2562" i="1"/>
  <c r="I2562" i="1"/>
  <c r="J2562" i="1"/>
  <c r="A2563" i="1"/>
  <c r="B2563" i="1"/>
  <c r="C2563" i="1"/>
  <c r="D2563" i="1"/>
  <c r="I2563" i="1"/>
  <c r="A2564" i="1"/>
  <c r="B2564" i="1"/>
  <c r="C2564" i="1"/>
  <c r="D2564" i="1"/>
  <c r="I2564" i="1"/>
  <c r="J2564" i="1"/>
  <c r="A2565" i="1"/>
  <c r="B2565" i="1"/>
  <c r="C2565" i="1"/>
  <c r="D2565" i="1"/>
  <c r="E2565" i="1" s="1"/>
  <c r="I2565" i="1"/>
  <c r="J2565" i="1"/>
  <c r="A2566" i="1"/>
  <c r="B2566" i="1"/>
  <c r="C2566" i="1"/>
  <c r="D2566" i="1"/>
  <c r="I2566" i="1"/>
  <c r="J2566" i="1"/>
  <c r="A2567" i="1"/>
  <c r="B2567" i="1"/>
  <c r="C2567" i="1"/>
  <c r="D2567" i="1"/>
  <c r="E2567" i="1"/>
  <c r="I2567" i="1"/>
  <c r="J2567" i="1"/>
  <c r="A2568" i="1"/>
  <c r="B2568" i="1"/>
  <c r="C2568" i="1"/>
  <c r="D2568" i="1"/>
  <c r="I2568" i="1"/>
  <c r="J2568" i="1"/>
  <c r="A2569" i="1"/>
  <c r="B2569" i="1"/>
  <c r="C2569" i="1"/>
  <c r="D2569" i="1"/>
  <c r="E2569" i="1" s="1"/>
  <c r="I2569" i="1"/>
  <c r="J2569" i="1"/>
  <c r="A2570" i="1"/>
  <c r="B2570" i="1"/>
  <c r="C2570" i="1"/>
  <c r="D2570" i="1"/>
  <c r="I2570" i="1"/>
  <c r="J2570" i="1"/>
  <c r="A2571" i="1"/>
  <c r="B2571" i="1"/>
  <c r="C2571" i="1"/>
  <c r="D2571" i="1"/>
  <c r="E2571" i="1"/>
  <c r="I2571" i="1"/>
  <c r="J2571" i="1"/>
  <c r="A2572" i="1"/>
  <c r="B2572" i="1"/>
  <c r="C2572" i="1"/>
  <c r="D2572" i="1"/>
  <c r="I2572" i="1"/>
  <c r="J2572" i="1"/>
  <c r="A2573" i="1"/>
  <c r="B2573" i="1"/>
  <c r="C2573" i="1"/>
  <c r="D2573" i="1"/>
  <c r="E2573" i="1" s="1"/>
  <c r="I2573" i="1"/>
  <c r="J2573" i="1"/>
  <c r="A2574" i="1"/>
  <c r="B2574" i="1"/>
  <c r="C2574" i="1"/>
  <c r="D2574" i="1"/>
  <c r="I2574" i="1"/>
  <c r="J2574" i="1"/>
  <c r="A2575" i="1"/>
  <c r="B2575" i="1"/>
  <c r="C2575" i="1"/>
  <c r="D2575" i="1"/>
  <c r="E2575" i="1" s="1"/>
  <c r="I2575" i="1"/>
  <c r="J2575" i="1"/>
  <c r="A2576" i="1"/>
  <c r="B2576" i="1"/>
  <c r="C2576" i="1"/>
  <c r="D2576" i="1"/>
  <c r="I2576" i="1"/>
  <c r="J2576" i="1"/>
  <c r="A2577" i="1"/>
  <c r="B2577" i="1"/>
  <c r="C2577" i="1"/>
  <c r="D2577" i="1"/>
  <c r="E2577" i="1" s="1"/>
  <c r="I2577" i="1"/>
  <c r="J2577" i="1"/>
  <c r="A2578" i="1"/>
  <c r="B2578" i="1"/>
  <c r="C2578" i="1"/>
  <c r="D2578" i="1"/>
  <c r="I2578" i="1"/>
  <c r="J2578" i="1"/>
  <c r="A2579" i="1"/>
  <c r="B2579" i="1"/>
  <c r="C2579" i="1"/>
  <c r="D2579" i="1"/>
  <c r="E2579" i="1"/>
  <c r="I2579" i="1"/>
  <c r="J2579" i="1"/>
  <c r="A2580" i="1"/>
  <c r="B2580" i="1"/>
  <c r="C2580" i="1"/>
  <c r="D2580" i="1"/>
  <c r="I2580" i="1"/>
  <c r="J2580" i="1"/>
  <c r="A2581" i="1"/>
  <c r="B2581" i="1"/>
  <c r="C2581" i="1"/>
  <c r="D2581" i="1"/>
  <c r="E2581" i="1" s="1"/>
  <c r="I2581" i="1"/>
  <c r="J2581" i="1"/>
  <c r="A2582" i="1"/>
  <c r="B2582" i="1"/>
  <c r="C2582" i="1"/>
  <c r="D2582" i="1"/>
  <c r="I2582" i="1"/>
  <c r="J2582" i="1"/>
  <c r="A2583" i="1"/>
  <c r="B2583" i="1"/>
  <c r="C2583" i="1"/>
  <c r="D2583" i="1"/>
  <c r="E2583" i="1" s="1"/>
  <c r="I2583" i="1"/>
  <c r="J2583" i="1"/>
  <c r="A2584" i="1"/>
  <c r="B2584" i="1"/>
  <c r="C2584" i="1"/>
  <c r="E2584" i="1"/>
  <c r="I2584" i="1"/>
  <c r="J2584" i="1"/>
  <c r="A2585" i="1"/>
  <c r="B2585" i="1"/>
  <c r="C2585" i="1"/>
  <c r="D2585" i="1"/>
  <c r="I2585" i="1"/>
  <c r="J2585" i="1"/>
  <c r="A2586" i="1"/>
  <c r="B2586" i="1"/>
  <c r="C2586" i="1"/>
  <c r="E2586" i="1"/>
  <c r="I2586" i="1"/>
  <c r="J2586" i="1"/>
  <c r="A2587" i="1"/>
  <c r="B2587" i="1"/>
  <c r="C2587" i="1"/>
  <c r="D2587" i="1"/>
  <c r="E2587" i="1" s="1"/>
  <c r="I2587" i="1"/>
  <c r="J2587" i="1"/>
  <c r="A2588" i="1"/>
  <c r="B2588" i="1"/>
  <c r="C2588" i="1"/>
  <c r="D2588" i="1"/>
  <c r="E2588" i="1"/>
  <c r="I2588" i="1"/>
  <c r="J2588" i="1"/>
  <c r="A2589" i="1"/>
  <c r="B2589" i="1"/>
  <c r="C2589" i="1"/>
  <c r="D2589" i="1"/>
  <c r="E2589" i="1" s="1"/>
  <c r="I2589" i="1"/>
  <c r="J2589" i="1"/>
  <c r="A2590" i="1"/>
  <c r="B2590" i="1"/>
  <c r="C2590" i="1"/>
  <c r="D2590" i="1"/>
  <c r="E2590" i="1" s="1"/>
  <c r="I2590" i="1"/>
  <c r="J2590" i="1"/>
  <c r="A2591" i="1"/>
  <c r="B2591" i="1"/>
  <c r="C2591" i="1"/>
  <c r="D2591" i="1"/>
  <c r="E2591" i="1" s="1"/>
  <c r="I2591" i="1"/>
  <c r="J2591" i="1"/>
  <c r="A2592" i="1"/>
  <c r="B2592" i="1"/>
  <c r="C2592" i="1"/>
  <c r="D2592" i="1"/>
  <c r="E2592" i="1"/>
  <c r="I2592" i="1"/>
  <c r="J2592" i="1"/>
  <c r="A2593" i="1"/>
  <c r="B2593" i="1"/>
  <c r="C2593" i="1"/>
  <c r="D2593" i="1"/>
  <c r="I2593" i="1"/>
  <c r="J2593" i="1"/>
  <c r="A2594" i="1"/>
  <c r="B2594" i="1"/>
  <c r="C2594" i="1"/>
  <c r="D2594" i="1"/>
  <c r="I2594" i="1"/>
  <c r="J2594" i="1"/>
  <c r="A2595" i="1"/>
  <c r="B2595" i="1"/>
  <c r="C2595" i="1"/>
  <c r="D2595" i="1"/>
  <c r="E2595" i="1" s="1"/>
  <c r="I2595" i="1"/>
  <c r="J2595" i="1"/>
  <c r="A2596" i="1"/>
  <c r="B2596" i="1"/>
  <c r="C2596" i="1"/>
  <c r="D2596" i="1"/>
  <c r="E2596" i="1" s="1"/>
  <c r="I2596" i="1"/>
  <c r="J2596" i="1"/>
  <c r="A2597" i="1"/>
  <c r="B2597" i="1"/>
  <c r="C2597" i="1"/>
  <c r="D2597" i="1"/>
  <c r="E2597" i="1" s="1"/>
  <c r="I2597" i="1"/>
  <c r="J2597" i="1"/>
  <c r="A2598" i="1"/>
  <c r="B2598" i="1"/>
  <c r="C2598" i="1"/>
  <c r="D2598" i="1"/>
  <c r="I2598" i="1"/>
  <c r="J2598" i="1"/>
  <c r="A2599" i="1"/>
  <c r="B2599" i="1"/>
  <c r="C2599" i="1"/>
  <c r="D2599" i="1"/>
  <c r="I2599" i="1"/>
  <c r="J2599" i="1"/>
  <c r="A2600" i="1"/>
  <c r="B2600" i="1"/>
  <c r="C2600" i="1"/>
  <c r="D2600" i="1"/>
  <c r="E2600" i="1"/>
  <c r="I2600" i="1"/>
  <c r="J2600" i="1"/>
  <c r="A2601" i="1"/>
  <c r="B2601" i="1"/>
  <c r="C2601" i="1"/>
  <c r="D2601" i="1"/>
  <c r="I2601" i="1"/>
  <c r="J2601" i="1"/>
  <c r="A2602" i="1"/>
  <c r="B2602" i="1"/>
  <c r="C2602" i="1"/>
  <c r="D2602" i="1"/>
  <c r="E2602" i="1" s="1"/>
  <c r="I2602" i="1"/>
  <c r="J2602" i="1"/>
  <c r="A2603" i="1"/>
  <c r="B2603" i="1"/>
  <c r="C2603" i="1"/>
  <c r="D2603" i="1"/>
  <c r="I2603" i="1"/>
  <c r="J2603" i="1"/>
  <c r="A2604" i="1"/>
  <c r="B2604" i="1"/>
  <c r="C2604" i="1"/>
  <c r="D2604" i="1"/>
  <c r="E2604" i="1" s="1"/>
  <c r="I2604" i="1"/>
  <c r="J2604" i="1"/>
  <c r="A2605" i="1"/>
  <c r="B2605" i="1"/>
  <c r="C2605" i="1"/>
  <c r="D2605" i="1"/>
  <c r="I2605" i="1"/>
  <c r="J2605" i="1"/>
  <c r="A2606" i="1"/>
  <c r="B2606" i="1"/>
  <c r="C2606" i="1"/>
  <c r="D2606" i="1"/>
  <c r="E2606" i="1" s="1"/>
  <c r="I2606" i="1"/>
  <c r="J2606" i="1"/>
  <c r="A2607" i="1"/>
  <c r="B2607" i="1"/>
  <c r="C2607" i="1"/>
  <c r="D2607" i="1"/>
  <c r="I2607" i="1"/>
  <c r="J2607" i="1"/>
  <c r="A2608" i="1"/>
  <c r="B2608" i="1"/>
  <c r="C2608" i="1"/>
  <c r="D2608" i="1"/>
  <c r="E2608" i="1"/>
  <c r="I2608" i="1"/>
  <c r="J2608" i="1"/>
  <c r="A2609" i="1"/>
  <c r="B2609" i="1"/>
  <c r="C2609" i="1"/>
  <c r="D2609" i="1"/>
  <c r="I2609" i="1"/>
  <c r="J2609" i="1"/>
  <c r="A2610" i="1"/>
  <c r="B2610" i="1"/>
  <c r="C2610" i="1"/>
  <c r="D2610" i="1"/>
  <c r="E2610" i="1" s="1"/>
  <c r="I2610" i="1"/>
  <c r="J2610" i="1"/>
  <c r="A2611" i="1"/>
  <c r="B2611" i="1"/>
  <c r="C2611" i="1"/>
  <c r="D2611" i="1"/>
  <c r="I2611" i="1"/>
  <c r="J2611" i="1"/>
  <c r="A2612" i="1"/>
  <c r="B2612" i="1"/>
  <c r="C2612" i="1"/>
  <c r="D2612" i="1"/>
  <c r="E2612" i="1" s="1"/>
  <c r="I2612" i="1"/>
  <c r="J2612" i="1"/>
  <c r="A2613" i="1"/>
  <c r="B2613" i="1"/>
  <c r="C2613" i="1"/>
  <c r="D2613" i="1"/>
  <c r="I2613" i="1"/>
  <c r="J2613" i="1"/>
  <c r="A2614" i="1"/>
  <c r="B2614" i="1"/>
  <c r="C2614" i="1"/>
  <c r="D2614" i="1"/>
  <c r="E2614" i="1" s="1"/>
  <c r="I2614" i="1"/>
  <c r="J2614" i="1"/>
  <c r="A2615" i="1"/>
  <c r="B2615" i="1"/>
  <c r="C2615" i="1"/>
  <c r="D2615" i="1"/>
  <c r="I2615" i="1"/>
  <c r="J2615" i="1"/>
  <c r="A2616" i="1"/>
  <c r="B2616" i="1"/>
  <c r="C2616" i="1"/>
  <c r="D2616" i="1"/>
  <c r="E2616" i="1"/>
  <c r="I2616" i="1"/>
  <c r="J2616" i="1"/>
  <c r="A2617" i="1"/>
  <c r="B2617" i="1"/>
  <c r="C2617" i="1"/>
  <c r="D2617" i="1"/>
  <c r="I2617" i="1"/>
  <c r="J2617" i="1"/>
  <c r="A2618" i="1"/>
  <c r="B2618" i="1"/>
  <c r="C2618" i="1"/>
  <c r="D2618" i="1"/>
  <c r="E2618" i="1" s="1"/>
  <c r="I2618" i="1"/>
  <c r="J2618" i="1"/>
  <c r="A2619" i="1"/>
  <c r="B2619" i="1"/>
  <c r="C2619" i="1"/>
  <c r="D2619" i="1"/>
  <c r="I2619" i="1"/>
  <c r="J2619" i="1"/>
  <c r="A2620" i="1"/>
  <c r="B2620" i="1"/>
  <c r="C2620" i="1"/>
  <c r="D2620" i="1"/>
  <c r="E2620" i="1" s="1"/>
  <c r="I2620" i="1"/>
  <c r="J2620" i="1"/>
  <c r="A2621" i="1"/>
  <c r="B2621" i="1"/>
  <c r="C2621" i="1"/>
  <c r="D2621" i="1"/>
  <c r="I2621" i="1"/>
  <c r="J2621" i="1"/>
  <c r="A2622" i="1"/>
  <c r="B2622" i="1"/>
  <c r="C2622" i="1"/>
  <c r="D2622" i="1"/>
  <c r="E2622" i="1" s="1"/>
  <c r="I2622" i="1"/>
  <c r="J2622" i="1"/>
  <c r="A2623" i="1"/>
  <c r="B2623" i="1"/>
  <c r="C2623" i="1"/>
  <c r="D2623" i="1"/>
  <c r="I2623" i="1"/>
  <c r="J2623" i="1"/>
  <c r="A2624" i="1"/>
  <c r="B2624" i="1"/>
  <c r="C2624" i="1"/>
  <c r="D2624" i="1"/>
  <c r="I2624" i="1"/>
  <c r="J2624" i="1"/>
  <c r="A2625" i="1"/>
  <c r="B2625" i="1"/>
  <c r="C2625" i="1"/>
  <c r="D2625" i="1"/>
  <c r="E2625" i="1"/>
  <c r="I2625" i="1"/>
  <c r="J2625" i="1"/>
  <c r="A2626" i="1"/>
  <c r="B2626" i="1"/>
  <c r="C2626" i="1"/>
  <c r="D2626" i="1"/>
  <c r="I2626" i="1"/>
  <c r="J2626" i="1"/>
  <c r="A2627" i="1"/>
  <c r="B2627" i="1"/>
  <c r="C2627" i="1"/>
  <c r="D2627" i="1"/>
  <c r="E2627" i="1" s="1"/>
  <c r="I2627" i="1"/>
  <c r="J2627" i="1"/>
  <c r="A2628" i="1"/>
  <c r="B2628" i="1"/>
  <c r="C2628" i="1"/>
  <c r="D2628" i="1"/>
  <c r="I2628" i="1"/>
  <c r="J2628" i="1"/>
  <c r="A2629" i="1"/>
  <c r="B2629" i="1"/>
  <c r="C2629" i="1"/>
  <c r="D2629" i="1"/>
  <c r="E2629" i="1" s="1"/>
  <c r="I2629" i="1"/>
  <c r="J2629" i="1"/>
  <c r="A2630" i="1"/>
  <c r="B2630" i="1"/>
  <c r="C2630" i="1"/>
  <c r="D2630" i="1"/>
  <c r="I2630" i="1"/>
  <c r="J2630" i="1"/>
  <c r="A2631" i="1"/>
  <c r="B2631" i="1"/>
  <c r="C2631" i="1"/>
  <c r="D2631" i="1"/>
  <c r="E2631" i="1" s="1"/>
  <c r="I2631" i="1"/>
  <c r="J2631" i="1"/>
  <c r="A2632" i="1"/>
  <c r="B2632" i="1"/>
  <c r="C2632" i="1"/>
  <c r="D2632" i="1"/>
  <c r="I2632" i="1"/>
  <c r="J2632" i="1"/>
  <c r="A2633" i="1"/>
  <c r="B2633" i="1"/>
  <c r="C2633" i="1"/>
  <c r="D2633" i="1"/>
  <c r="E2633" i="1"/>
  <c r="I2633" i="1"/>
  <c r="J2633" i="1"/>
  <c r="A2634" i="1"/>
  <c r="B2634" i="1"/>
  <c r="C2634" i="1"/>
  <c r="D2634" i="1"/>
  <c r="I2634" i="1"/>
  <c r="J2634" i="1"/>
  <c r="A2635" i="1"/>
  <c r="B2635" i="1"/>
  <c r="C2635" i="1"/>
  <c r="D2635" i="1"/>
  <c r="E2635" i="1" s="1"/>
  <c r="I2635" i="1"/>
  <c r="J2635" i="1"/>
  <c r="A2636" i="1"/>
  <c r="B2636" i="1"/>
  <c r="C2636" i="1"/>
  <c r="D2636" i="1"/>
  <c r="I2636" i="1"/>
  <c r="J2636" i="1"/>
  <c r="A2637" i="1"/>
  <c r="B2637" i="1"/>
  <c r="C2637" i="1"/>
  <c r="D2637" i="1"/>
  <c r="E2637" i="1" s="1"/>
  <c r="I2637" i="1"/>
  <c r="J2637" i="1"/>
  <c r="A2638" i="1"/>
  <c r="B2638" i="1"/>
  <c r="C2638" i="1"/>
  <c r="D2638" i="1"/>
  <c r="I2638" i="1"/>
  <c r="J2638" i="1"/>
  <c r="A2639" i="1"/>
  <c r="B2639" i="1"/>
  <c r="C2639" i="1"/>
  <c r="D2639" i="1"/>
  <c r="E2639" i="1" s="1"/>
  <c r="I2639" i="1"/>
  <c r="J2639" i="1"/>
  <c r="A2640" i="1"/>
  <c r="B2640" i="1"/>
  <c r="C2640" i="1"/>
  <c r="D2640" i="1"/>
  <c r="I2640" i="1"/>
  <c r="J2640" i="1"/>
  <c r="A2641" i="1"/>
  <c r="B2641" i="1"/>
  <c r="C2641" i="1"/>
  <c r="D2641" i="1"/>
  <c r="E2641" i="1" s="1"/>
  <c r="I2641" i="1"/>
  <c r="J2641" i="1"/>
  <c r="A2642" i="1"/>
  <c r="B2642" i="1"/>
  <c r="C2642" i="1"/>
  <c r="D2642" i="1"/>
  <c r="I2642" i="1"/>
  <c r="J2642" i="1"/>
  <c r="A2643" i="1"/>
  <c r="B2643" i="1"/>
  <c r="C2643" i="1"/>
  <c r="D2643" i="1"/>
  <c r="E2643" i="1" s="1"/>
  <c r="I2643" i="1"/>
  <c r="J2643" i="1"/>
  <c r="A2644" i="1"/>
  <c r="B2644" i="1"/>
  <c r="C2644" i="1"/>
  <c r="D2644" i="1"/>
  <c r="I2644" i="1"/>
  <c r="J2644" i="1"/>
  <c r="A2645" i="1"/>
  <c r="B2645" i="1"/>
  <c r="C2645" i="1"/>
  <c r="D2645" i="1"/>
  <c r="E2645" i="1" s="1"/>
  <c r="I2645" i="1"/>
  <c r="J2645" i="1"/>
  <c r="A2646" i="1"/>
  <c r="B2646" i="1"/>
  <c r="C2646" i="1"/>
  <c r="D2646" i="1"/>
  <c r="I2646" i="1"/>
  <c r="J2646" i="1"/>
  <c r="A2647" i="1"/>
  <c r="B2647" i="1"/>
  <c r="C2647" i="1"/>
  <c r="D2647" i="1"/>
  <c r="E2647" i="1" s="1"/>
  <c r="I2647" i="1"/>
  <c r="J2647" i="1"/>
  <c r="A2648" i="1"/>
  <c r="B2648" i="1"/>
  <c r="C2648" i="1"/>
  <c r="D2648" i="1"/>
  <c r="I2648" i="1"/>
  <c r="J2648" i="1"/>
  <c r="A2649" i="1"/>
  <c r="B2649" i="1"/>
  <c r="C2649" i="1"/>
  <c r="D2649" i="1"/>
  <c r="E2649" i="1"/>
  <c r="I2649" i="1"/>
  <c r="J2649" i="1"/>
  <c r="A2650" i="1"/>
  <c r="B2650" i="1"/>
  <c r="C2650" i="1"/>
  <c r="D2650" i="1"/>
  <c r="I2650" i="1"/>
  <c r="J2650" i="1"/>
  <c r="A2651" i="1"/>
  <c r="B2651" i="1"/>
  <c r="C2651" i="1"/>
  <c r="D2651" i="1"/>
  <c r="E2651" i="1" s="1"/>
  <c r="I2651" i="1"/>
  <c r="J2651" i="1"/>
  <c r="A2652" i="1"/>
  <c r="B2652" i="1"/>
  <c r="C2652" i="1"/>
  <c r="D2652" i="1"/>
  <c r="I2652" i="1"/>
  <c r="J2652" i="1"/>
  <c r="A2653" i="1"/>
  <c r="B2653" i="1"/>
  <c r="C2653" i="1"/>
  <c r="D2653" i="1"/>
  <c r="E2653" i="1" s="1"/>
  <c r="I2653" i="1"/>
  <c r="J2653" i="1"/>
  <c r="A2654" i="1"/>
  <c r="B2654" i="1"/>
  <c r="C2654" i="1"/>
  <c r="D2654" i="1"/>
  <c r="I2654" i="1"/>
  <c r="J2654" i="1"/>
  <c r="A2655" i="1"/>
  <c r="B2655" i="1"/>
  <c r="C2655" i="1"/>
  <c r="D2655" i="1"/>
  <c r="E2655" i="1" s="1"/>
  <c r="I2655" i="1"/>
  <c r="J2655" i="1"/>
  <c r="A2656" i="1"/>
  <c r="B2656" i="1"/>
  <c r="C2656" i="1"/>
  <c r="D2656" i="1"/>
  <c r="I2656" i="1"/>
  <c r="J2656" i="1"/>
  <c r="A2657" i="1"/>
  <c r="B2657" i="1"/>
  <c r="C2657" i="1"/>
  <c r="D2657" i="1"/>
  <c r="E2657" i="1"/>
  <c r="I2657" i="1"/>
  <c r="J2657" i="1"/>
  <c r="A2658" i="1"/>
  <c r="B2658" i="1"/>
  <c r="C2658" i="1"/>
  <c r="D2658" i="1"/>
  <c r="I2658" i="1"/>
  <c r="J2658" i="1"/>
  <c r="A2659" i="1"/>
  <c r="B2659" i="1"/>
  <c r="C2659" i="1"/>
  <c r="D2659" i="1"/>
  <c r="E2659" i="1" s="1"/>
  <c r="I2659" i="1"/>
  <c r="J2659" i="1"/>
  <c r="A2660" i="1"/>
  <c r="B2660" i="1"/>
  <c r="C2660" i="1"/>
  <c r="D2660" i="1"/>
  <c r="I2660" i="1"/>
  <c r="J2660" i="1"/>
  <c r="A2661" i="1"/>
  <c r="B2661" i="1"/>
  <c r="C2661" i="1"/>
  <c r="D2661" i="1"/>
  <c r="E2661" i="1" s="1"/>
  <c r="I2661" i="1"/>
  <c r="J2661" i="1"/>
  <c r="A2662" i="1"/>
  <c r="B2662" i="1"/>
  <c r="C2662" i="1"/>
  <c r="D2662" i="1"/>
  <c r="I2662" i="1"/>
  <c r="J2662" i="1"/>
  <c r="A2663" i="1"/>
  <c r="B2663" i="1"/>
  <c r="C2663" i="1"/>
  <c r="D2663" i="1"/>
  <c r="E2663" i="1" s="1"/>
  <c r="I2663" i="1"/>
  <c r="J2663" i="1"/>
  <c r="A2664" i="1"/>
  <c r="B2664" i="1"/>
  <c r="C2664" i="1"/>
  <c r="D2664" i="1"/>
  <c r="I2664" i="1"/>
  <c r="J2664" i="1"/>
  <c r="A2665" i="1"/>
  <c r="B2665" i="1"/>
  <c r="C2665" i="1"/>
  <c r="D2665" i="1"/>
  <c r="E2665" i="1"/>
  <c r="I2665" i="1"/>
  <c r="J2665" i="1"/>
  <c r="A2666" i="1"/>
  <c r="B2666" i="1"/>
  <c r="C2666" i="1"/>
  <c r="D2666" i="1"/>
  <c r="I2666" i="1"/>
  <c r="J2666" i="1"/>
  <c r="A2667" i="1"/>
  <c r="B2667" i="1"/>
  <c r="C2667" i="1"/>
  <c r="E2667" i="1"/>
  <c r="I2667" i="1"/>
  <c r="J2667" i="1"/>
  <c r="A2668" i="1"/>
  <c r="B2668" i="1"/>
  <c r="C2668" i="1"/>
  <c r="E2668" i="1"/>
  <c r="I2668" i="1"/>
  <c r="J2668" i="1"/>
  <c r="A2669" i="1"/>
  <c r="B2669" i="1"/>
  <c r="C2669" i="1"/>
  <c r="E2669" i="1"/>
  <c r="I2669" i="1"/>
  <c r="J2669" i="1"/>
  <c r="A2670" i="1"/>
  <c r="B2670" i="1"/>
  <c r="C2670" i="1"/>
  <c r="D2670" i="1"/>
  <c r="E2670" i="1" s="1"/>
  <c r="I2670" i="1"/>
  <c r="J2670" i="1"/>
  <c r="A2671" i="1"/>
  <c r="B2671" i="1"/>
  <c r="C2671" i="1"/>
  <c r="D2671" i="1"/>
  <c r="E2671" i="1" s="1"/>
  <c r="I2671" i="1"/>
  <c r="J2671" i="1"/>
  <c r="A2672" i="1"/>
  <c r="B2672" i="1"/>
  <c r="C2672" i="1"/>
  <c r="E2672" i="1"/>
  <c r="I2672" i="1"/>
  <c r="J2672" i="1"/>
  <c r="A2673" i="1"/>
  <c r="B2673" i="1"/>
  <c r="C2673" i="1"/>
  <c r="E2673" i="1"/>
  <c r="I2673" i="1"/>
  <c r="J2673" i="1"/>
  <c r="A2674" i="1"/>
  <c r="B2674" i="1"/>
  <c r="C2674" i="1"/>
  <c r="E2674" i="1"/>
  <c r="I2674" i="1"/>
  <c r="J2674" i="1"/>
  <c r="A2675" i="1"/>
  <c r="B2675" i="1"/>
  <c r="C2675" i="1"/>
  <c r="E2675" i="1"/>
  <c r="I2675" i="1"/>
  <c r="J2675" i="1"/>
  <c r="A2676" i="1"/>
  <c r="B2676" i="1"/>
  <c r="C2676" i="1"/>
  <c r="E2676" i="1"/>
  <c r="I2676" i="1"/>
  <c r="J2676" i="1"/>
  <c r="A2677" i="1"/>
  <c r="B2677" i="1"/>
  <c r="C2677" i="1"/>
  <c r="D2677" i="1"/>
  <c r="E2677" i="1" s="1"/>
  <c r="I2677" i="1"/>
  <c r="J2677" i="1"/>
  <c r="A2678" i="1"/>
  <c r="B2678" i="1"/>
  <c r="C2678" i="1"/>
  <c r="E2678" i="1"/>
  <c r="I2678" i="1"/>
  <c r="J2678" i="1"/>
  <c r="A2679" i="1"/>
  <c r="B2679" i="1"/>
  <c r="C2679" i="1"/>
  <c r="D2679" i="1"/>
  <c r="I2679" i="1"/>
  <c r="J2679" i="1"/>
  <c r="A2680" i="1"/>
  <c r="B2680" i="1"/>
  <c r="C2680" i="1"/>
  <c r="D2680" i="1"/>
  <c r="E2680" i="1" s="1"/>
  <c r="I2680" i="1"/>
  <c r="J2680" i="1"/>
  <c r="A2681" i="1"/>
  <c r="B2681" i="1"/>
  <c r="C2681" i="1"/>
  <c r="E2681" i="1"/>
  <c r="I2681" i="1"/>
  <c r="J2681" i="1"/>
  <c r="A2682" i="1"/>
  <c r="B2682" i="1"/>
  <c r="C2682" i="1"/>
  <c r="D2682" i="1"/>
  <c r="I2682" i="1"/>
  <c r="J2682" i="1"/>
  <c r="A2683" i="1"/>
  <c r="B2683" i="1"/>
  <c r="C2683" i="1"/>
  <c r="E2683" i="1"/>
  <c r="I2683" i="1"/>
  <c r="J2683" i="1"/>
  <c r="A2684" i="1"/>
  <c r="B2684" i="1"/>
  <c r="C2684" i="1"/>
  <c r="E2684" i="1"/>
  <c r="I2684" i="1"/>
  <c r="J2684" i="1"/>
  <c r="A2685" i="1"/>
  <c r="B2685" i="1"/>
  <c r="C2685" i="1"/>
  <c r="D2685" i="1"/>
  <c r="I2685" i="1"/>
  <c r="J2685" i="1"/>
  <c r="A2686" i="1"/>
  <c r="B2686" i="1"/>
  <c r="C2686" i="1"/>
  <c r="D2686" i="1"/>
  <c r="E2686" i="1" s="1"/>
  <c r="I2686" i="1"/>
  <c r="J2686" i="1"/>
  <c r="A2687" i="1"/>
  <c r="B2687" i="1"/>
  <c r="C2687" i="1"/>
  <c r="D2687" i="1"/>
  <c r="I2687" i="1"/>
  <c r="J2687" i="1"/>
  <c r="A2688" i="1"/>
  <c r="B2688" i="1"/>
  <c r="C2688" i="1"/>
  <c r="D2688" i="1"/>
  <c r="E2688" i="1" s="1"/>
  <c r="I2688" i="1"/>
  <c r="J2688" i="1"/>
  <c r="A2689" i="1"/>
  <c r="B2689" i="1"/>
  <c r="C2689" i="1"/>
  <c r="D2689" i="1"/>
  <c r="I2689" i="1"/>
  <c r="J2689" i="1"/>
  <c r="A2690" i="1"/>
  <c r="B2690" i="1"/>
  <c r="C2690" i="1"/>
  <c r="D2690" i="1"/>
  <c r="I2690" i="1"/>
  <c r="J2690" i="1"/>
  <c r="A2691" i="1"/>
  <c r="B2691" i="1"/>
  <c r="C2691" i="1"/>
  <c r="D2691" i="1"/>
  <c r="E2691" i="1" s="1"/>
  <c r="I2691" i="1"/>
  <c r="J2691" i="1"/>
  <c r="A2692" i="1"/>
  <c r="B2692" i="1"/>
  <c r="C2692" i="1"/>
  <c r="D2692" i="1"/>
  <c r="I2692" i="1"/>
  <c r="J2692" i="1"/>
  <c r="A2693" i="1"/>
  <c r="B2693" i="1"/>
  <c r="C2693" i="1"/>
  <c r="D2693" i="1"/>
  <c r="E2693" i="1" s="1"/>
  <c r="I2693" i="1"/>
  <c r="J2693" i="1"/>
  <c r="A2694" i="1"/>
  <c r="B2694" i="1"/>
  <c r="C2694" i="1"/>
  <c r="D2694" i="1"/>
  <c r="E2694" i="1" s="1"/>
  <c r="I2694" i="1"/>
  <c r="J2694" i="1"/>
  <c r="A2695" i="1"/>
  <c r="B2695" i="1"/>
  <c r="C2695" i="1"/>
  <c r="D2695" i="1"/>
  <c r="E2695" i="1" s="1"/>
  <c r="I2695" i="1"/>
  <c r="J2695" i="1"/>
  <c r="A2696" i="1"/>
  <c r="B2696" i="1"/>
  <c r="C2696" i="1"/>
  <c r="D2696" i="1"/>
  <c r="I2696" i="1"/>
  <c r="J2696" i="1"/>
  <c r="A2697" i="1"/>
  <c r="B2697" i="1"/>
  <c r="C2697" i="1"/>
  <c r="D2697" i="1"/>
  <c r="I2697" i="1"/>
  <c r="J2697" i="1"/>
  <c r="A2698" i="1"/>
  <c r="B2698" i="1"/>
  <c r="C2698" i="1"/>
  <c r="D2698" i="1"/>
  <c r="I2698" i="1"/>
  <c r="J2698" i="1"/>
  <c r="A2699" i="1"/>
  <c r="B2699" i="1"/>
  <c r="C2699" i="1"/>
  <c r="D2699" i="1"/>
  <c r="E2699" i="1" s="1"/>
  <c r="I2699" i="1"/>
  <c r="J2699" i="1"/>
  <c r="A2700" i="1"/>
  <c r="B2700" i="1"/>
  <c r="C2700" i="1"/>
  <c r="D2700" i="1"/>
  <c r="I2700" i="1"/>
  <c r="J2700" i="1"/>
  <c r="A2701" i="1"/>
  <c r="B2701" i="1"/>
  <c r="C2701" i="1"/>
  <c r="D2701" i="1"/>
  <c r="E2701" i="1"/>
  <c r="I2701" i="1"/>
  <c r="J2701" i="1"/>
  <c r="A2702" i="1"/>
  <c r="B2702" i="1"/>
  <c r="C2702" i="1"/>
  <c r="D2702" i="1"/>
  <c r="E2702" i="1" s="1"/>
  <c r="I2702" i="1"/>
  <c r="J2702" i="1"/>
  <c r="A2703" i="1"/>
  <c r="B2703" i="1"/>
  <c r="C2703" i="1"/>
  <c r="D2703" i="1"/>
  <c r="E2703" i="1"/>
  <c r="I2703" i="1"/>
  <c r="J2703" i="1"/>
  <c r="A2704" i="1"/>
  <c r="B2704" i="1"/>
  <c r="C2704" i="1"/>
  <c r="D2704" i="1"/>
  <c r="E2704" i="1" s="1"/>
  <c r="I2704" i="1"/>
  <c r="J2704" i="1"/>
  <c r="A2705" i="1"/>
  <c r="B2705" i="1"/>
  <c r="C2705" i="1"/>
  <c r="D2705" i="1"/>
  <c r="E2705" i="1"/>
  <c r="I2705" i="1"/>
  <c r="J2705" i="1"/>
  <c r="A2706" i="1"/>
  <c r="B2706" i="1"/>
  <c r="C2706" i="1"/>
  <c r="D2706" i="1"/>
  <c r="E2706" i="1" s="1"/>
  <c r="I2706" i="1"/>
  <c r="J2706" i="1"/>
  <c r="A2707" i="1"/>
  <c r="B2707" i="1"/>
  <c r="C2707" i="1"/>
  <c r="D2707" i="1"/>
  <c r="E2707" i="1" s="1"/>
  <c r="I2707" i="1"/>
  <c r="J2707" i="1"/>
  <c r="A2708" i="1"/>
  <c r="B2708" i="1"/>
  <c r="C2708" i="1"/>
  <c r="D2708" i="1"/>
  <c r="E2708" i="1" s="1"/>
  <c r="I2708" i="1"/>
  <c r="J2708" i="1"/>
  <c r="A2709" i="1"/>
  <c r="B2709" i="1"/>
  <c r="C2709" i="1"/>
  <c r="D2709" i="1"/>
  <c r="E2709" i="1"/>
  <c r="I2709" i="1"/>
  <c r="J2709" i="1"/>
  <c r="A2710" i="1"/>
  <c r="B2710" i="1"/>
  <c r="C2710" i="1"/>
  <c r="D2710" i="1"/>
  <c r="E2710" i="1" s="1"/>
  <c r="I2710" i="1"/>
  <c r="J2710" i="1"/>
  <c r="A2711" i="1"/>
  <c r="B2711" i="1"/>
  <c r="C2711" i="1"/>
  <c r="D2711" i="1"/>
  <c r="E2711" i="1" s="1"/>
  <c r="I2711" i="1"/>
  <c r="J2711" i="1"/>
  <c r="A2712" i="1"/>
  <c r="B2712" i="1"/>
  <c r="C2712" i="1"/>
  <c r="D2712" i="1"/>
  <c r="E2712" i="1" s="1"/>
  <c r="I2712" i="1"/>
  <c r="J2712" i="1"/>
  <c r="A2713" i="1"/>
  <c r="B2713" i="1"/>
  <c r="C2713" i="1"/>
  <c r="D2713" i="1"/>
  <c r="E2713" i="1" s="1"/>
  <c r="I2713" i="1"/>
  <c r="J2713" i="1"/>
  <c r="A2714" i="1"/>
  <c r="B2714" i="1"/>
  <c r="C2714" i="1"/>
  <c r="D2714" i="1"/>
  <c r="E2714" i="1" s="1"/>
  <c r="I2714" i="1"/>
  <c r="J2714" i="1"/>
  <c r="A2715" i="1"/>
  <c r="B2715" i="1"/>
  <c r="C2715" i="1"/>
  <c r="D2715" i="1"/>
  <c r="E2715" i="1" s="1"/>
  <c r="I2715" i="1"/>
  <c r="J2715" i="1"/>
  <c r="A2716" i="1"/>
  <c r="B2716" i="1"/>
  <c r="C2716" i="1"/>
  <c r="D2716" i="1"/>
  <c r="E2716" i="1" s="1"/>
  <c r="I2716" i="1"/>
  <c r="J2716" i="1"/>
  <c r="A2717" i="1"/>
  <c r="B2717" i="1"/>
  <c r="C2717" i="1"/>
  <c r="D2717" i="1"/>
  <c r="E2717" i="1"/>
  <c r="I2717" i="1"/>
  <c r="J2717" i="1"/>
  <c r="A2718" i="1"/>
  <c r="B2718" i="1"/>
  <c r="C2718" i="1"/>
  <c r="D2718" i="1"/>
  <c r="E2718" i="1" s="1"/>
  <c r="I2718" i="1"/>
  <c r="J2718" i="1"/>
  <c r="A2719" i="1"/>
  <c r="B2719" i="1"/>
  <c r="C2719" i="1"/>
  <c r="D2719" i="1"/>
  <c r="E2719" i="1"/>
  <c r="I2719" i="1"/>
  <c r="J2719" i="1"/>
  <c r="A2720" i="1"/>
  <c r="B2720" i="1"/>
  <c r="C2720" i="1"/>
  <c r="D2720" i="1"/>
  <c r="E2720" i="1" s="1"/>
  <c r="I2720" i="1"/>
  <c r="J2720" i="1"/>
  <c r="A2721" i="1"/>
  <c r="B2721" i="1"/>
  <c r="C2721" i="1"/>
  <c r="D2721" i="1"/>
  <c r="E2721" i="1"/>
  <c r="I2721" i="1"/>
  <c r="J2721" i="1"/>
  <c r="A2722" i="1"/>
  <c r="B2722" i="1"/>
  <c r="C2722" i="1"/>
  <c r="D2722" i="1"/>
  <c r="E2722" i="1" s="1"/>
  <c r="I2722" i="1"/>
  <c r="J2722" i="1"/>
  <c r="A2723" i="1"/>
  <c r="B2723" i="1"/>
  <c r="C2723" i="1"/>
  <c r="D2723" i="1"/>
  <c r="E2723" i="1" s="1"/>
  <c r="I2723" i="1"/>
  <c r="J2723" i="1"/>
  <c r="A2724" i="1"/>
  <c r="B2724" i="1"/>
  <c r="C2724" i="1"/>
  <c r="D2724" i="1"/>
  <c r="E2724" i="1" s="1"/>
  <c r="I2724" i="1"/>
  <c r="J2724" i="1"/>
  <c r="A2725" i="1"/>
  <c r="B2725" i="1"/>
  <c r="C2725" i="1"/>
  <c r="D2725" i="1"/>
  <c r="E2725" i="1" s="1"/>
  <c r="I2725" i="1"/>
  <c r="J2725" i="1"/>
  <c r="A2726" i="1"/>
  <c r="B2726" i="1"/>
  <c r="C2726" i="1"/>
  <c r="D2726" i="1"/>
  <c r="E2726" i="1" s="1"/>
  <c r="I2726" i="1"/>
  <c r="J2726" i="1"/>
  <c r="A2727" i="1"/>
  <c r="B2727" i="1"/>
  <c r="C2727" i="1"/>
  <c r="D2727" i="1"/>
  <c r="E2727" i="1" s="1"/>
  <c r="I2727" i="1"/>
  <c r="J2727" i="1"/>
  <c r="A2728" i="1"/>
  <c r="B2728" i="1"/>
  <c r="C2728" i="1"/>
  <c r="D2728" i="1"/>
  <c r="E2728" i="1" s="1"/>
  <c r="I2728" i="1"/>
  <c r="J2728" i="1"/>
  <c r="A2729" i="1"/>
  <c r="B2729" i="1"/>
  <c r="C2729" i="1"/>
  <c r="D2729" i="1"/>
  <c r="E2729" i="1" s="1"/>
  <c r="I2729" i="1"/>
  <c r="J2729" i="1"/>
  <c r="A2730" i="1"/>
  <c r="B2730" i="1"/>
  <c r="C2730" i="1"/>
  <c r="D2730" i="1"/>
  <c r="E2730" i="1" s="1"/>
  <c r="I2730" i="1"/>
  <c r="J2730" i="1"/>
  <c r="A2731" i="1"/>
  <c r="B2731" i="1"/>
  <c r="C2731" i="1"/>
  <c r="D2731" i="1"/>
  <c r="E2731" i="1" s="1"/>
  <c r="I2731" i="1"/>
  <c r="J2731" i="1"/>
  <c r="A2732" i="1"/>
  <c r="B2732" i="1"/>
  <c r="C2732" i="1"/>
  <c r="D2732" i="1"/>
  <c r="E2732" i="1" s="1"/>
  <c r="I2732" i="1"/>
  <c r="J2732" i="1"/>
  <c r="A2733" i="1"/>
  <c r="B2733" i="1"/>
  <c r="C2733" i="1"/>
  <c r="D2733" i="1"/>
  <c r="E2733" i="1"/>
  <c r="I2733" i="1"/>
  <c r="J2733" i="1"/>
  <c r="A2734" i="1"/>
  <c r="B2734" i="1"/>
  <c r="C2734" i="1"/>
  <c r="D2734" i="1"/>
  <c r="E2734" i="1" s="1"/>
  <c r="I2734" i="1"/>
  <c r="J2734" i="1"/>
  <c r="A2735" i="1"/>
  <c r="B2735" i="1"/>
  <c r="C2735" i="1"/>
  <c r="D2735" i="1"/>
  <c r="E2735" i="1"/>
  <c r="I2735" i="1"/>
  <c r="J2735" i="1"/>
  <c r="A2736" i="1"/>
  <c r="B2736" i="1"/>
  <c r="C2736" i="1"/>
  <c r="D2736" i="1"/>
  <c r="E2736" i="1" s="1"/>
  <c r="I2736" i="1"/>
  <c r="J2736" i="1"/>
  <c r="A2737" i="1"/>
  <c r="B2737" i="1"/>
  <c r="C2737" i="1"/>
  <c r="D2737" i="1"/>
  <c r="E2737" i="1"/>
  <c r="I2737" i="1"/>
  <c r="J2737" i="1"/>
  <c r="A2738" i="1"/>
  <c r="B2738" i="1"/>
  <c r="C2738" i="1"/>
  <c r="D2738" i="1"/>
  <c r="E2738" i="1" s="1"/>
  <c r="I2738" i="1"/>
  <c r="J2738" i="1"/>
  <c r="A2739" i="1"/>
  <c r="B2739" i="1"/>
  <c r="C2739" i="1"/>
  <c r="D2739" i="1"/>
  <c r="E2739" i="1" s="1"/>
  <c r="I2739" i="1"/>
  <c r="J2739" i="1"/>
  <c r="A2740" i="1"/>
  <c r="B2740" i="1"/>
  <c r="C2740" i="1"/>
  <c r="D2740" i="1"/>
  <c r="E2740" i="1" s="1"/>
  <c r="I2740" i="1"/>
  <c r="J2740" i="1"/>
  <c r="A2741" i="1"/>
  <c r="B2741" i="1"/>
  <c r="C2741" i="1"/>
  <c r="D2741" i="1"/>
  <c r="E2741" i="1"/>
  <c r="I2741" i="1"/>
  <c r="J2741" i="1"/>
  <c r="A2742" i="1"/>
  <c r="B2742" i="1"/>
  <c r="C2742" i="1"/>
  <c r="D2742" i="1"/>
  <c r="E2742" i="1" s="1"/>
  <c r="I2742" i="1"/>
  <c r="J2742" i="1"/>
  <c r="A2743" i="1"/>
  <c r="B2743" i="1"/>
  <c r="C2743" i="1"/>
  <c r="D2743" i="1"/>
  <c r="E2743" i="1" s="1"/>
  <c r="I2743" i="1"/>
  <c r="J2743" i="1"/>
  <c r="A2744" i="1"/>
  <c r="B2744" i="1"/>
  <c r="C2744" i="1"/>
  <c r="D2744" i="1"/>
  <c r="E2744" i="1" s="1"/>
  <c r="I2744" i="1"/>
  <c r="J2744" i="1"/>
  <c r="A2745" i="1"/>
  <c r="B2745" i="1"/>
  <c r="C2745" i="1"/>
  <c r="D2745" i="1"/>
  <c r="E2745" i="1" s="1"/>
  <c r="I2745" i="1"/>
  <c r="J2745" i="1"/>
  <c r="A2746" i="1"/>
  <c r="B2746" i="1"/>
  <c r="C2746" i="1"/>
  <c r="D2746" i="1"/>
  <c r="E2746" i="1" s="1"/>
  <c r="I2746" i="1"/>
  <c r="J2746" i="1"/>
  <c r="A2747" i="1"/>
  <c r="B2747" i="1"/>
  <c r="C2747" i="1"/>
  <c r="D2747" i="1"/>
  <c r="E2747" i="1" s="1"/>
  <c r="I2747" i="1"/>
  <c r="J2747" i="1"/>
  <c r="A2748" i="1"/>
  <c r="B2748" i="1"/>
  <c r="C2748" i="1"/>
  <c r="D2748" i="1"/>
  <c r="E2748" i="1" s="1"/>
  <c r="I2748" i="1"/>
  <c r="J2748" i="1"/>
  <c r="A2749" i="1"/>
  <c r="B2749" i="1"/>
  <c r="C2749" i="1"/>
  <c r="D2749" i="1"/>
  <c r="E2749" i="1"/>
  <c r="I2749" i="1"/>
  <c r="J2749" i="1"/>
  <c r="A2750" i="1"/>
  <c r="B2750" i="1"/>
  <c r="C2750" i="1"/>
  <c r="D2750" i="1"/>
  <c r="E2750" i="1" s="1"/>
  <c r="I2750" i="1"/>
  <c r="J2750" i="1"/>
  <c r="A2751" i="1"/>
  <c r="B2751" i="1"/>
  <c r="C2751" i="1"/>
  <c r="D2751" i="1"/>
  <c r="E2751" i="1"/>
  <c r="I2751" i="1"/>
  <c r="J2751" i="1"/>
  <c r="A2752" i="1"/>
  <c r="B2752" i="1"/>
  <c r="C2752" i="1"/>
  <c r="D2752" i="1"/>
  <c r="E2752" i="1" s="1"/>
  <c r="I2752" i="1"/>
  <c r="J2752" i="1"/>
  <c r="A2753" i="1"/>
  <c r="B2753" i="1"/>
  <c r="C2753" i="1"/>
  <c r="D2753" i="1"/>
  <c r="E2753" i="1" s="1"/>
  <c r="I2753" i="1"/>
  <c r="J2753" i="1"/>
  <c r="A2754" i="1"/>
  <c r="B2754" i="1"/>
  <c r="C2754" i="1"/>
  <c r="D2754" i="1"/>
  <c r="E2754" i="1" s="1"/>
  <c r="I2754" i="1"/>
  <c r="J2754" i="1"/>
  <c r="A2755" i="1"/>
  <c r="B2755" i="1"/>
  <c r="C2755" i="1"/>
  <c r="D2755" i="1"/>
  <c r="E2755" i="1"/>
  <c r="I2755" i="1"/>
  <c r="J2755" i="1"/>
  <c r="A2756" i="1"/>
  <c r="B2756" i="1"/>
  <c r="C2756" i="1"/>
  <c r="D2756" i="1"/>
  <c r="E2756" i="1" s="1"/>
  <c r="I2756" i="1"/>
  <c r="J2756" i="1"/>
  <c r="A2757" i="1"/>
  <c r="B2757" i="1"/>
  <c r="C2757" i="1"/>
  <c r="D2757" i="1"/>
  <c r="E2757" i="1" s="1"/>
  <c r="I2757" i="1"/>
  <c r="J2757" i="1"/>
  <c r="A2758" i="1"/>
  <c r="B2758" i="1"/>
  <c r="C2758" i="1"/>
  <c r="D2758" i="1"/>
  <c r="E2758" i="1" s="1"/>
  <c r="I2758" i="1"/>
  <c r="J2758" i="1"/>
  <c r="A2759" i="1"/>
  <c r="B2759" i="1"/>
  <c r="C2759" i="1"/>
  <c r="D2759" i="1"/>
  <c r="E2759" i="1"/>
  <c r="I2759" i="1"/>
  <c r="J2759" i="1"/>
  <c r="A2760" i="1"/>
  <c r="B2760" i="1"/>
  <c r="C2760" i="1"/>
  <c r="D2760" i="1"/>
  <c r="E2760" i="1" s="1"/>
  <c r="I2760" i="1"/>
  <c r="J2760" i="1"/>
  <c r="A2761" i="1"/>
  <c r="B2761" i="1"/>
  <c r="C2761" i="1"/>
  <c r="D2761" i="1"/>
  <c r="E2761" i="1" s="1"/>
  <c r="I2761" i="1"/>
  <c r="J2761" i="1"/>
  <c r="A2762" i="1"/>
  <c r="B2762" i="1"/>
  <c r="C2762" i="1"/>
  <c r="D2762" i="1"/>
  <c r="E2762" i="1" s="1"/>
  <c r="I2762" i="1"/>
  <c r="J2762" i="1"/>
  <c r="A2763" i="1"/>
  <c r="B2763" i="1"/>
  <c r="C2763" i="1"/>
  <c r="D2763" i="1"/>
  <c r="E2763" i="1" s="1"/>
  <c r="I2763" i="1"/>
  <c r="J2763" i="1"/>
  <c r="A2764" i="1"/>
  <c r="B2764" i="1"/>
  <c r="C2764" i="1"/>
  <c r="D2764" i="1"/>
  <c r="E2764" i="1" s="1"/>
  <c r="I2764" i="1"/>
  <c r="J2764" i="1"/>
  <c r="A2765" i="1"/>
  <c r="B2765" i="1"/>
  <c r="C2765" i="1"/>
  <c r="D2765" i="1"/>
  <c r="E2765" i="1" s="1"/>
  <c r="I2765" i="1"/>
  <c r="J2765" i="1"/>
  <c r="A2766" i="1"/>
  <c r="B2766" i="1"/>
  <c r="C2766" i="1"/>
  <c r="D2766" i="1"/>
  <c r="E2766" i="1" s="1"/>
  <c r="I2766" i="1"/>
  <c r="J2766" i="1"/>
  <c r="A2767" i="1"/>
  <c r="B2767" i="1"/>
  <c r="C2767" i="1"/>
  <c r="D2767" i="1"/>
  <c r="E2767" i="1"/>
  <c r="I2767" i="1"/>
  <c r="J2767" i="1"/>
  <c r="A2768" i="1"/>
  <c r="B2768" i="1"/>
  <c r="C2768" i="1"/>
  <c r="D2768" i="1"/>
  <c r="E2768" i="1" s="1"/>
  <c r="I2768" i="1"/>
  <c r="J2768" i="1"/>
  <c r="A2769" i="1"/>
  <c r="B2769" i="1"/>
  <c r="C2769" i="1"/>
  <c r="D2769" i="1"/>
  <c r="E2769" i="1" s="1"/>
  <c r="I2769" i="1"/>
  <c r="J2769" i="1"/>
  <c r="A2770" i="1"/>
  <c r="B2770" i="1"/>
  <c r="C2770" i="1"/>
  <c r="D2770" i="1"/>
  <c r="E2770" i="1" s="1"/>
  <c r="I2770" i="1"/>
  <c r="J2770" i="1"/>
  <c r="A2771" i="1"/>
  <c r="B2771" i="1"/>
  <c r="C2771" i="1"/>
  <c r="D2771" i="1"/>
  <c r="E2771" i="1"/>
  <c r="I2771" i="1"/>
  <c r="J2771" i="1"/>
  <c r="A2772" i="1"/>
  <c r="B2772" i="1"/>
  <c r="C2772" i="1"/>
  <c r="D2772" i="1"/>
  <c r="E2772" i="1" s="1"/>
  <c r="I2772" i="1"/>
  <c r="J2772" i="1"/>
  <c r="A2773" i="1"/>
  <c r="B2773" i="1"/>
  <c r="C2773" i="1"/>
  <c r="D2773" i="1"/>
  <c r="E2773" i="1" s="1"/>
  <c r="I2773" i="1"/>
  <c r="J2773" i="1"/>
  <c r="A2774" i="1"/>
  <c r="B2774" i="1"/>
  <c r="C2774" i="1"/>
  <c r="D2774" i="1"/>
  <c r="E2774" i="1" s="1"/>
  <c r="I2774" i="1"/>
  <c r="J2774" i="1"/>
  <c r="A2775" i="1"/>
  <c r="B2775" i="1"/>
  <c r="C2775" i="1"/>
  <c r="D2775" i="1"/>
  <c r="E2775" i="1"/>
  <c r="I2775" i="1"/>
  <c r="J2775" i="1"/>
  <c r="A2776" i="1"/>
  <c r="B2776" i="1"/>
  <c r="C2776" i="1"/>
  <c r="D2776" i="1"/>
  <c r="E2776" i="1" s="1"/>
  <c r="I2776" i="1"/>
  <c r="J2776" i="1"/>
  <c r="A2777" i="1"/>
  <c r="B2777" i="1"/>
  <c r="C2777" i="1"/>
  <c r="D2777" i="1"/>
  <c r="E2777" i="1" s="1"/>
  <c r="I2777" i="1"/>
  <c r="J2777" i="1"/>
  <c r="A2778" i="1"/>
  <c r="B2778" i="1"/>
  <c r="C2778" i="1"/>
  <c r="D2778" i="1"/>
  <c r="E2778" i="1" s="1"/>
  <c r="I2778" i="1"/>
  <c r="J2778" i="1"/>
  <c r="A2779" i="1"/>
  <c r="B2779" i="1"/>
  <c r="C2779" i="1"/>
  <c r="D2779" i="1"/>
  <c r="E2779" i="1" s="1"/>
  <c r="I2779" i="1"/>
  <c r="J2779" i="1"/>
  <c r="A2780" i="1"/>
  <c r="B2780" i="1"/>
  <c r="C2780" i="1"/>
  <c r="D2780" i="1"/>
  <c r="E2780" i="1" s="1"/>
  <c r="I2780" i="1"/>
  <c r="J2780" i="1"/>
  <c r="A2781" i="1"/>
  <c r="B2781" i="1"/>
  <c r="C2781" i="1"/>
  <c r="D2781" i="1"/>
  <c r="E2781" i="1" s="1"/>
  <c r="I2781" i="1"/>
  <c r="J2781" i="1"/>
  <c r="A2782" i="1"/>
  <c r="B2782" i="1"/>
  <c r="C2782" i="1"/>
  <c r="D2782" i="1"/>
  <c r="E2782" i="1" s="1"/>
  <c r="I2782" i="1"/>
  <c r="J2782" i="1"/>
  <c r="A2783" i="1"/>
  <c r="B2783" i="1"/>
  <c r="C2783" i="1"/>
  <c r="D2783" i="1"/>
  <c r="E2783" i="1"/>
  <c r="I2783" i="1"/>
  <c r="J2783" i="1"/>
  <c r="A2784" i="1"/>
  <c r="B2784" i="1"/>
  <c r="C2784" i="1"/>
  <c r="D2784" i="1"/>
  <c r="E2784" i="1" s="1"/>
  <c r="I2784" i="1"/>
  <c r="J2784" i="1"/>
  <c r="A2785" i="1"/>
  <c r="B2785" i="1"/>
  <c r="C2785" i="1"/>
  <c r="D2785" i="1"/>
  <c r="E2785" i="1" s="1"/>
  <c r="I2785" i="1"/>
  <c r="J2785" i="1"/>
  <c r="A2786" i="1"/>
  <c r="B2786" i="1"/>
  <c r="C2786" i="1"/>
  <c r="D2786" i="1"/>
  <c r="E2786" i="1" s="1"/>
  <c r="I2786" i="1"/>
  <c r="J2786" i="1"/>
  <c r="A2787" i="1"/>
  <c r="B2787" i="1"/>
  <c r="C2787" i="1"/>
  <c r="D2787" i="1"/>
  <c r="E2787" i="1"/>
  <c r="I2787" i="1"/>
  <c r="J2787" i="1"/>
  <c r="A2788" i="1"/>
  <c r="B2788" i="1"/>
  <c r="C2788" i="1"/>
  <c r="D2788" i="1"/>
  <c r="E2788" i="1" s="1"/>
  <c r="I2788" i="1"/>
  <c r="J2788" i="1"/>
  <c r="A2789" i="1"/>
  <c r="B2789" i="1"/>
  <c r="C2789" i="1"/>
  <c r="D2789" i="1"/>
  <c r="E2789" i="1" s="1"/>
  <c r="I2789" i="1"/>
  <c r="J2789" i="1"/>
  <c r="A2790" i="1"/>
  <c r="B2790" i="1"/>
  <c r="C2790" i="1"/>
  <c r="D2790" i="1"/>
  <c r="E2790" i="1" s="1"/>
  <c r="I2790" i="1"/>
  <c r="J2790" i="1"/>
  <c r="A2791" i="1"/>
  <c r="B2791" i="1"/>
  <c r="C2791" i="1"/>
  <c r="D2791" i="1"/>
  <c r="E2791" i="1"/>
  <c r="I2791" i="1"/>
  <c r="J2791" i="1"/>
  <c r="A2792" i="1"/>
  <c r="B2792" i="1"/>
  <c r="C2792" i="1"/>
  <c r="D2792" i="1"/>
  <c r="E2792" i="1" s="1"/>
  <c r="I2792" i="1"/>
  <c r="J2792" i="1"/>
  <c r="A2793" i="1"/>
  <c r="B2793" i="1"/>
  <c r="C2793" i="1"/>
  <c r="D2793" i="1"/>
  <c r="E2793" i="1" s="1"/>
  <c r="I2793" i="1"/>
  <c r="J2793" i="1"/>
  <c r="A2794" i="1"/>
  <c r="B2794" i="1"/>
  <c r="C2794" i="1"/>
  <c r="D2794" i="1"/>
  <c r="E2794" i="1" s="1"/>
  <c r="I2794" i="1"/>
  <c r="J2794" i="1"/>
  <c r="A2795" i="1"/>
  <c r="B2795" i="1"/>
  <c r="C2795" i="1"/>
  <c r="D2795" i="1"/>
  <c r="E2795" i="1" s="1"/>
  <c r="I2795" i="1"/>
  <c r="J2795" i="1"/>
  <c r="A2796" i="1"/>
  <c r="B2796" i="1"/>
  <c r="C2796" i="1"/>
  <c r="D2796" i="1"/>
  <c r="E2796" i="1" s="1"/>
  <c r="I2796" i="1"/>
  <c r="J2796" i="1"/>
  <c r="A2797" i="1"/>
  <c r="B2797" i="1"/>
  <c r="C2797" i="1"/>
  <c r="D2797" i="1"/>
  <c r="E2797" i="1" s="1"/>
  <c r="I2797" i="1"/>
  <c r="J2797" i="1"/>
  <c r="A2798" i="1"/>
  <c r="B2798" i="1"/>
  <c r="C2798" i="1"/>
  <c r="D2798" i="1"/>
  <c r="E2798" i="1" s="1"/>
  <c r="I2798" i="1"/>
  <c r="J2798" i="1"/>
  <c r="A2799" i="1"/>
  <c r="B2799" i="1"/>
  <c r="C2799" i="1"/>
  <c r="D2799" i="1"/>
  <c r="E2799" i="1"/>
  <c r="I2799" i="1"/>
  <c r="J2799" i="1"/>
  <c r="A2800" i="1"/>
  <c r="B2800" i="1"/>
  <c r="C2800" i="1"/>
  <c r="D2800" i="1"/>
  <c r="E2800" i="1" s="1"/>
  <c r="I2800" i="1"/>
  <c r="J2800" i="1"/>
  <c r="A2801" i="1"/>
  <c r="B2801" i="1"/>
  <c r="C2801" i="1"/>
  <c r="D2801" i="1"/>
  <c r="E2801" i="1" s="1"/>
  <c r="I2801" i="1"/>
  <c r="J2801" i="1"/>
  <c r="A2802" i="1"/>
  <c r="B2802" i="1"/>
  <c r="C2802" i="1"/>
  <c r="D2802" i="1"/>
  <c r="E2802" i="1" s="1"/>
  <c r="I2802" i="1"/>
  <c r="J2802" i="1"/>
  <c r="A2803" i="1"/>
  <c r="B2803" i="1"/>
  <c r="C2803" i="1"/>
  <c r="D2803" i="1"/>
  <c r="E2803" i="1"/>
  <c r="I2803" i="1"/>
  <c r="J2803" i="1"/>
  <c r="A2804" i="1"/>
  <c r="B2804" i="1"/>
  <c r="C2804" i="1"/>
  <c r="D2804" i="1"/>
  <c r="E2804" i="1" s="1"/>
  <c r="I2804" i="1"/>
  <c r="J2804" i="1"/>
  <c r="A2805" i="1"/>
  <c r="B2805" i="1"/>
  <c r="C2805" i="1"/>
  <c r="D2805" i="1"/>
  <c r="E2805" i="1" s="1"/>
  <c r="I2805" i="1"/>
  <c r="J2805" i="1"/>
  <c r="A2806" i="1"/>
  <c r="B2806" i="1"/>
  <c r="C2806" i="1"/>
  <c r="D2806" i="1"/>
  <c r="E2806" i="1" s="1"/>
  <c r="I2806" i="1"/>
  <c r="J2806" i="1"/>
  <c r="A2807" i="1"/>
  <c r="B2807" i="1"/>
  <c r="C2807" i="1"/>
  <c r="D2807" i="1"/>
  <c r="E2807" i="1"/>
  <c r="I2807" i="1"/>
  <c r="J2807" i="1"/>
  <c r="A2808" i="1"/>
  <c r="B2808" i="1"/>
  <c r="C2808" i="1"/>
  <c r="D2808" i="1"/>
  <c r="E2808" i="1" s="1"/>
  <c r="I2808" i="1"/>
  <c r="J2808" i="1"/>
  <c r="A2809" i="1"/>
  <c r="B2809" i="1"/>
  <c r="C2809" i="1"/>
  <c r="D2809" i="1"/>
  <c r="E2809" i="1" s="1"/>
  <c r="I2809" i="1"/>
  <c r="J2809" i="1"/>
  <c r="A2810" i="1"/>
  <c r="B2810" i="1"/>
  <c r="C2810" i="1"/>
  <c r="D2810" i="1"/>
  <c r="E2810" i="1" s="1"/>
  <c r="I2810" i="1"/>
  <c r="J2810" i="1"/>
  <c r="A2811" i="1"/>
  <c r="B2811" i="1"/>
  <c r="C2811" i="1"/>
  <c r="D2811" i="1"/>
  <c r="E2811" i="1" s="1"/>
  <c r="I2811" i="1"/>
  <c r="J2811" i="1"/>
  <c r="A2812" i="1"/>
  <c r="B2812" i="1"/>
  <c r="C2812" i="1"/>
  <c r="D2812" i="1"/>
  <c r="E2812" i="1" s="1"/>
  <c r="I2812" i="1"/>
  <c r="J2812" i="1"/>
  <c r="A2813" i="1"/>
  <c r="B2813" i="1"/>
  <c r="C2813" i="1"/>
  <c r="D2813" i="1"/>
  <c r="E2813" i="1" s="1"/>
  <c r="I2813" i="1"/>
  <c r="J2813" i="1"/>
  <c r="A2814" i="1"/>
  <c r="B2814" i="1"/>
  <c r="C2814" i="1"/>
  <c r="D2814" i="1"/>
  <c r="E2814" i="1" s="1"/>
  <c r="I2814" i="1"/>
  <c r="J2814" i="1"/>
  <c r="A2815" i="1"/>
  <c r="B2815" i="1"/>
  <c r="C2815" i="1"/>
  <c r="D2815" i="1"/>
  <c r="E2815" i="1"/>
  <c r="I2815" i="1"/>
  <c r="J2815" i="1"/>
  <c r="A2816" i="1"/>
  <c r="B2816" i="1"/>
  <c r="C2816" i="1"/>
  <c r="D2816" i="1"/>
  <c r="E2816" i="1" s="1"/>
  <c r="I2816" i="1"/>
  <c r="J2816" i="1"/>
  <c r="A2817" i="1"/>
  <c r="B2817" i="1"/>
  <c r="C2817" i="1"/>
  <c r="D2817" i="1"/>
  <c r="E2817" i="1" s="1"/>
  <c r="I2817" i="1"/>
  <c r="J2817" i="1"/>
  <c r="A2818" i="1"/>
  <c r="B2818" i="1"/>
  <c r="C2818" i="1"/>
  <c r="D2818" i="1"/>
  <c r="E2818" i="1"/>
  <c r="I2818" i="1"/>
  <c r="J2818" i="1"/>
  <c r="A2819" i="1"/>
  <c r="B2819" i="1"/>
  <c r="C2819" i="1"/>
  <c r="D2819" i="1"/>
  <c r="E2819" i="1" s="1"/>
  <c r="I2819" i="1"/>
  <c r="J2819" i="1"/>
  <c r="A2820" i="1"/>
  <c r="B2820" i="1"/>
  <c r="C2820" i="1"/>
  <c r="D2820" i="1"/>
  <c r="E2820" i="1"/>
  <c r="I2820" i="1"/>
  <c r="J2820" i="1"/>
  <c r="A2821" i="1"/>
  <c r="B2821" i="1"/>
  <c r="C2821" i="1"/>
  <c r="D2821" i="1"/>
  <c r="E2821" i="1" s="1"/>
  <c r="I2821" i="1"/>
  <c r="J2821" i="1"/>
  <c r="A2822" i="1"/>
  <c r="B2822" i="1"/>
  <c r="C2822" i="1"/>
  <c r="D2822" i="1"/>
  <c r="E2822" i="1" s="1"/>
  <c r="I2822" i="1"/>
  <c r="J2822" i="1"/>
  <c r="A2823" i="1"/>
  <c r="B2823" i="1"/>
  <c r="C2823" i="1"/>
  <c r="D2823" i="1"/>
  <c r="E2823" i="1" s="1"/>
  <c r="I2823" i="1"/>
  <c r="J2823" i="1"/>
  <c r="A2824" i="1"/>
  <c r="B2824" i="1"/>
  <c r="C2824" i="1"/>
  <c r="D2824" i="1"/>
  <c r="E2824" i="1" s="1"/>
  <c r="I2824" i="1"/>
  <c r="J2824" i="1"/>
  <c r="A2825" i="1"/>
  <c r="B2825" i="1"/>
  <c r="C2825" i="1"/>
  <c r="D2825" i="1"/>
  <c r="E2825" i="1" s="1"/>
  <c r="I2825" i="1"/>
  <c r="J2825" i="1"/>
  <c r="A2826" i="1"/>
  <c r="B2826" i="1"/>
  <c r="C2826" i="1"/>
  <c r="D2826" i="1"/>
  <c r="E2826" i="1" s="1"/>
  <c r="I2826" i="1"/>
  <c r="J2826" i="1"/>
  <c r="A2827" i="1"/>
  <c r="B2827" i="1"/>
  <c r="C2827" i="1"/>
  <c r="D2827" i="1"/>
  <c r="E2827" i="1"/>
  <c r="I2827" i="1"/>
  <c r="J2827" i="1"/>
  <c r="A2828" i="1"/>
  <c r="B2828" i="1"/>
  <c r="C2828" i="1"/>
  <c r="D2828" i="1"/>
  <c r="E2828" i="1" s="1"/>
  <c r="I2828" i="1"/>
  <c r="J2828" i="1"/>
  <c r="A2829" i="1"/>
  <c r="B2829" i="1"/>
  <c r="C2829" i="1"/>
  <c r="D2829" i="1"/>
  <c r="E2829" i="1" s="1"/>
  <c r="I2829" i="1"/>
  <c r="J2829" i="1"/>
  <c r="A2830" i="1"/>
  <c r="B2830" i="1"/>
  <c r="C2830" i="1"/>
  <c r="D2830" i="1"/>
  <c r="E2830" i="1" s="1"/>
  <c r="I2830" i="1"/>
  <c r="J2830" i="1"/>
  <c r="A2831" i="1"/>
  <c r="B2831" i="1"/>
  <c r="C2831" i="1"/>
  <c r="D2831" i="1"/>
  <c r="E2831" i="1" s="1"/>
  <c r="I2831" i="1"/>
  <c r="J2831" i="1"/>
  <c r="A2832" i="1"/>
  <c r="B2832" i="1"/>
  <c r="C2832" i="1"/>
  <c r="D2832" i="1"/>
  <c r="E2832" i="1" s="1"/>
  <c r="I2832" i="1"/>
  <c r="J2832" i="1"/>
  <c r="A2833" i="1"/>
  <c r="B2833" i="1"/>
  <c r="C2833" i="1"/>
  <c r="D2833" i="1"/>
  <c r="E2833" i="1" s="1"/>
  <c r="I2833" i="1"/>
  <c r="J2833" i="1"/>
  <c r="A2834" i="1"/>
  <c r="B2834" i="1"/>
  <c r="C2834" i="1"/>
  <c r="D2834" i="1"/>
  <c r="E2834" i="1" s="1"/>
  <c r="I2834" i="1"/>
  <c r="J2834" i="1"/>
  <c r="A2835" i="1"/>
  <c r="B2835" i="1"/>
  <c r="C2835" i="1"/>
  <c r="D2835" i="1"/>
  <c r="E2835" i="1" s="1"/>
  <c r="I2835" i="1"/>
  <c r="J2835" i="1"/>
  <c r="A2836" i="1"/>
  <c r="B2836" i="1"/>
  <c r="C2836" i="1"/>
  <c r="D2836" i="1"/>
  <c r="E2836" i="1"/>
  <c r="I2836" i="1"/>
  <c r="J2836" i="1"/>
  <c r="A2837" i="1"/>
  <c r="B2837" i="1"/>
  <c r="C2837" i="1"/>
  <c r="D2837" i="1"/>
  <c r="E2837" i="1" s="1"/>
  <c r="I2837" i="1"/>
  <c r="J2837" i="1"/>
  <c r="A2838" i="1"/>
  <c r="B2838" i="1"/>
  <c r="C2838" i="1"/>
  <c r="D2838" i="1"/>
  <c r="E2838" i="1" s="1"/>
  <c r="I2838" i="1"/>
  <c r="J2838" i="1"/>
  <c r="A2839" i="1"/>
  <c r="B2839" i="1"/>
  <c r="C2839" i="1"/>
  <c r="D2839" i="1"/>
  <c r="E2839" i="1"/>
  <c r="I2839" i="1"/>
  <c r="J2839" i="1"/>
  <c r="A2840" i="1"/>
  <c r="B2840" i="1"/>
  <c r="C2840" i="1"/>
  <c r="D2840" i="1"/>
  <c r="E2840" i="1" s="1"/>
  <c r="I2840" i="1"/>
  <c r="J2840" i="1"/>
  <c r="A2841" i="1"/>
  <c r="B2841" i="1"/>
  <c r="C2841" i="1"/>
  <c r="D2841" i="1"/>
  <c r="E2841" i="1" s="1"/>
  <c r="I2841" i="1"/>
  <c r="J2841" i="1"/>
  <c r="A2842" i="1"/>
  <c r="B2842" i="1"/>
  <c r="C2842" i="1"/>
  <c r="D2842" i="1"/>
  <c r="E2842" i="1" s="1"/>
  <c r="I2842" i="1"/>
  <c r="J2842" i="1"/>
  <c r="A2843" i="1"/>
  <c r="B2843" i="1"/>
  <c r="C2843" i="1"/>
  <c r="D2843" i="1"/>
  <c r="E2843" i="1"/>
  <c r="I2843" i="1"/>
  <c r="J2843" i="1"/>
  <c r="A2844" i="1"/>
  <c r="B2844" i="1"/>
  <c r="C2844" i="1"/>
  <c r="D2844" i="1"/>
  <c r="E2844" i="1" s="1"/>
  <c r="I2844" i="1"/>
  <c r="J2844" i="1"/>
  <c r="A2845" i="1"/>
  <c r="B2845" i="1"/>
  <c r="C2845" i="1"/>
  <c r="D2845" i="1"/>
  <c r="E2845" i="1"/>
  <c r="I2845" i="1"/>
  <c r="J2845" i="1"/>
  <c r="A2846" i="1"/>
  <c r="B2846" i="1"/>
  <c r="C2846" i="1"/>
  <c r="D2846" i="1"/>
  <c r="E2846" i="1" s="1"/>
  <c r="I2846" i="1"/>
  <c r="J2846" i="1"/>
  <c r="A2847" i="1"/>
  <c r="B2847" i="1"/>
  <c r="C2847" i="1"/>
  <c r="D2847" i="1"/>
  <c r="E2847" i="1" s="1"/>
  <c r="I2847" i="1"/>
  <c r="J2847" i="1"/>
  <c r="A2848" i="1"/>
  <c r="B2848" i="1"/>
  <c r="C2848" i="1"/>
  <c r="D2848" i="1"/>
  <c r="E2848" i="1" s="1"/>
  <c r="I2848" i="1"/>
  <c r="J2848" i="1"/>
  <c r="A2849" i="1"/>
  <c r="B2849" i="1"/>
  <c r="C2849" i="1"/>
  <c r="D2849" i="1"/>
  <c r="E2849" i="1" s="1"/>
  <c r="I2849" i="1"/>
  <c r="J2849" i="1"/>
  <c r="A2850" i="1"/>
  <c r="B2850" i="1"/>
  <c r="C2850" i="1"/>
  <c r="D2850" i="1"/>
  <c r="E2850" i="1"/>
  <c r="I2850" i="1"/>
  <c r="J2850" i="1"/>
  <c r="A2851" i="1"/>
  <c r="B2851" i="1"/>
  <c r="C2851" i="1"/>
  <c r="D2851" i="1"/>
  <c r="E2851" i="1" s="1"/>
  <c r="I2851" i="1"/>
  <c r="J2851" i="1"/>
  <c r="A2852" i="1"/>
  <c r="B2852" i="1"/>
  <c r="C2852" i="1"/>
  <c r="D2852" i="1"/>
  <c r="E2852" i="1" s="1"/>
  <c r="I2852" i="1"/>
  <c r="J2852" i="1"/>
  <c r="A2853" i="1"/>
  <c r="B2853" i="1"/>
  <c r="C2853" i="1"/>
  <c r="D2853" i="1"/>
  <c r="E2853" i="1"/>
  <c r="I2853" i="1"/>
  <c r="J2853" i="1"/>
  <c r="A2854" i="1"/>
  <c r="B2854" i="1"/>
  <c r="C2854" i="1"/>
  <c r="D2854" i="1"/>
  <c r="E2854" i="1" s="1"/>
  <c r="I2854" i="1"/>
  <c r="J2854" i="1"/>
  <c r="A2855" i="1"/>
  <c r="B2855" i="1"/>
  <c r="C2855" i="1"/>
  <c r="D2855" i="1"/>
  <c r="E2855" i="1" s="1"/>
  <c r="I2855" i="1"/>
  <c r="J2855" i="1"/>
  <c r="A2856" i="1"/>
  <c r="B2856" i="1"/>
  <c r="C2856" i="1"/>
  <c r="D2856" i="1"/>
  <c r="E2856" i="1" s="1"/>
  <c r="I2856" i="1"/>
  <c r="J2856" i="1"/>
  <c r="A2857" i="1"/>
  <c r="B2857" i="1"/>
  <c r="C2857" i="1"/>
  <c r="D2857" i="1"/>
  <c r="E2857" i="1" s="1"/>
  <c r="I2857" i="1"/>
  <c r="J2857" i="1"/>
  <c r="A2858" i="1"/>
  <c r="B2858" i="1"/>
  <c r="C2858" i="1"/>
  <c r="D2858" i="1"/>
  <c r="E2858" i="1"/>
  <c r="I2858" i="1"/>
  <c r="J2858" i="1"/>
  <c r="A2859" i="1"/>
  <c r="B2859" i="1"/>
  <c r="C2859" i="1"/>
  <c r="D2859" i="1"/>
  <c r="E2859" i="1" s="1"/>
  <c r="I2859" i="1"/>
  <c r="J2859" i="1"/>
  <c r="A2860" i="1"/>
  <c r="B2860" i="1"/>
  <c r="C2860" i="1"/>
  <c r="D2860" i="1"/>
  <c r="E2860" i="1" s="1"/>
  <c r="I2860" i="1"/>
  <c r="J2860" i="1"/>
  <c r="A2861" i="1"/>
  <c r="B2861" i="1"/>
  <c r="C2861" i="1"/>
  <c r="D2861" i="1"/>
  <c r="E2861" i="1"/>
  <c r="I2861" i="1"/>
  <c r="J2861" i="1"/>
  <c r="A2862" i="1"/>
  <c r="B2862" i="1"/>
  <c r="C2862" i="1"/>
  <c r="D2862" i="1"/>
  <c r="E2862" i="1" s="1"/>
  <c r="I2862" i="1"/>
  <c r="J2862" i="1"/>
  <c r="A2863" i="1"/>
  <c r="B2863" i="1"/>
  <c r="C2863" i="1"/>
  <c r="D2863" i="1"/>
  <c r="E2863" i="1" s="1"/>
  <c r="I2863" i="1"/>
  <c r="J2863" i="1"/>
  <c r="A2864" i="1"/>
  <c r="B2864" i="1"/>
  <c r="C2864" i="1"/>
  <c r="D2864" i="1"/>
  <c r="E2864" i="1" s="1"/>
  <c r="I2864" i="1"/>
  <c r="J2864" i="1"/>
  <c r="A2865" i="1"/>
  <c r="B2865" i="1"/>
  <c r="C2865" i="1"/>
  <c r="D2865" i="1"/>
  <c r="E2865" i="1" s="1"/>
  <c r="I2865" i="1"/>
  <c r="J2865" i="1"/>
  <c r="A2866" i="1"/>
  <c r="B2866" i="1"/>
  <c r="C2866" i="1"/>
  <c r="D2866" i="1"/>
  <c r="E2866" i="1"/>
  <c r="I2866" i="1"/>
  <c r="J2866" i="1"/>
  <c r="A2867" i="1"/>
  <c r="B2867" i="1"/>
  <c r="C2867" i="1"/>
  <c r="D2867" i="1"/>
  <c r="E2867" i="1" s="1"/>
  <c r="I2867" i="1"/>
  <c r="J2867" i="1"/>
  <c r="A2868" i="1"/>
  <c r="B2868" i="1"/>
  <c r="C2868" i="1"/>
  <c r="D2868" i="1"/>
  <c r="E2868" i="1" s="1"/>
  <c r="I2868" i="1"/>
  <c r="J2868" i="1"/>
  <c r="A2869" i="1"/>
  <c r="B2869" i="1"/>
  <c r="C2869" i="1"/>
  <c r="D2869" i="1"/>
  <c r="E2869" i="1"/>
  <c r="I2869" i="1"/>
  <c r="J2869" i="1"/>
  <c r="A2870" i="1"/>
  <c r="B2870" i="1"/>
  <c r="C2870" i="1"/>
  <c r="D2870" i="1"/>
  <c r="E2870" i="1" s="1"/>
  <c r="I2870" i="1"/>
  <c r="J2870" i="1"/>
  <c r="A2871" i="1"/>
  <c r="B2871" i="1"/>
  <c r="C2871" i="1"/>
  <c r="D2871" i="1"/>
  <c r="E2871" i="1" s="1"/>
  <c r="I2871" i="1"/>
  <c r="J2871" i="1"/>
  <c r="A2872" i="1"/>
  <c r="B2872" i="1"/>
  <c r="C2872" i="1"/>
  <c r="D2872" i="1"/>
  <c r="E2872" i="1" s="1"/>
  <c r="I2872" i="1"/>
  <c r="J2872" i="1"/>
  <c r="A2873" i="1"/>
  <c r="B2873" i="1"/>
  <c r="C2873" i="1"/>
  <c r="D2873" i="1"/>
  <c r="E2873" i="1" s="1"/>
  <c r="I2873" i="1"/>
  <c r="J2873" i="1"/>
  <c r="A2874" i="1"/>
  <c r="B2874" i="1"/>
  <c r="C2874" i="1"/>
  <c r="D2874" i="1"/>
  <c r="E2874" i="1"/>
  <c r="I2874" i="1"/>
  <c r="J2874" i="1"/>
  <c r="A2875" i="1"/>
  <c r="B2875" i="1"/>
  <c r="C2875" i="1"/>
  <c r="E2875" i="1"/>
  <c r="I2875" i="1"/>
  <c r="J2875" i="1"/>
  <c r="A2876" i="1"/>
  <c r="B2876" i="1"/>
  <c r="C2876" i="1"/>
  <c r="E2876" i="1"/>
  <c r="I2876" i="1"/>
  <c r="J2876" i="1"/>
  <c r="A2877" i="1"/>
  <c r="B2877" i="1"/>
  <c r="C2877" i="1"/>
  <c r="E2877" i="1"/>
  <c r="I2877" i="1"/>
  <c r="J2877" i="1"/>
  <c r="A2878" i="1"/>
  <c r="B2878" i="1"/>
  <c r="C2878" i="1"/>
  <c r="E2878" i="1"/>
  <c r="I2878" i="1"/>
  <c r="J2878" i="1"/>
  <c r="A2879" i="1"/>
  <c r="B2879" i="1"/>
  <c r="C2879" i="1"/>
  <c r="E2879" i="1"/>
  <c r="I2879" i="1"/>
  <c r="J2879" i="1"/>
  <c r="A2880" i="1"/>
  <c r="B2880" i="1"/>
  <c r="C2880" i="1"/>
  <c r="E2880" i="1"/>
  <c r="I2880" i="1"/>
  <c r="J2880" i="1"/>
  <c r="A2881" i="1"/>
  <c r="B2881" i="1"/>
  <c r="C2881" i="1"/>
  <c r="E2881" i="1"/>
  <c r="I2881" i="1"/>
  <c r="J2881" i="1"/>
  <c r="A2882" i="1"/>
  <c r="B2882" i="1"/>
  <c r="C2882" i="1"/>
  <c r="E2882" i="1"/>
  <c r="I2882" i="1"/>
  <c r="J2882" i="1"/>
  <c r="A2883" i="1"/>
  <c r="B2883" i="1"/>
  <c r="C2883" i="1"/>
  <c r="D2883" i="1"/>
  <c r="E2883" i="1" s="1"/>
  <c r="I2883" i="1"/>
  <c r="J2883" i="1"/>
  <c r="A2884" i="1"/>
  <c r="B2884" i="1"/>
  <c r="C2884" i="1"/>
  <c r="E2884" i="1"/>
  <c r="I2884" i="1"/>
  <c r="J2884" i="1"/>
  <c r="A2885" i="1"/>
  <c r="B2885" i="1"/>
  <c r="C2885" i="1"/>
  <c r="E2885" i="1"/>
  <c r="I2885" i="1"/>
  <c r="J2885" i="1"/>
  <c r="A2886" i="1"/>
  <c r="B2886" i="1"/>
  <c r="C2886" i="1"/>
  <c r="E2886" i="1"/>
  <c r="I2886" i="1"/>
  <c r="J2886" i="1"/>
  <c r="A2887" i="1"/>
  <c r="B2887" i="1"/>
  <c r="C2887" i="1"/>
  <c r="E2887" i="1"/>
  <c r="I2887" i="1"/>
  <c r="J2887" i="1"/>
  <c r="A2888" i="1"/>
  <c r="B2888" i="1"/>
  <c r="C2888" i="1"/>
  <c r="E2888" i="1"/>
  <c r="I2888" i="1"/>
  <c r="J2888" i="1"/>
  <c r="A2889" i="1"/>
  <c r="B2889" i="1"/>
  <c r="C2889" i="1"/>
  <c r="E2889" i="1"/>
  <c r="I2889" i="1"/>
  <c r="J2889" i="1"/>
  <c r="A2890" i="1"/>
  <c r="B2890" i="1"/>
  <c r="C2890" i="1"/>
  <c r="E2890" i="1"/>
  <c r="I2890" i="1"/>
  <c r="J2890" i="1"/>
  <c r="A2891" i="1"/>
  <c r="B2891" i="1"/>
  <c r="C2891" i="1"/>
  <c r="E2891" i="1"/>
  <c r="I2891" i="1"/>
  <c r="J2891" i="1"/>
  <c r="A2892" i="1"/>
  <c r="B2892" i="1"/>
  <c r="C2892" i="1"/>
  <c r="E2892" i="1"/>
  <c r="I2892" i="1"/>
  <c r="J2892" i="1"/>
  <c r="A2893" i="1"/>
  <c r="B2893" i="1"/>
  <c r="C2893" i="1"/>
  <c r="E2893" i="1"/>
  <c r="I2893" i="1"/>
  <c r="J2893" i="1"/>
  <c r="A2894" i="1"/>
  <c r="B2894" i="1"/>
  <c r="C2894" i="1"/>
  <c r="E2894" i="1"/>
  <c r="I2894" i="1"/>
  <c r="J2894" i="1"/>
  <c r="A2895" i="1"/>
  <c r="B2895" i="1"/>
  <c r="C2895" i="1"/>
  <c r="E2895" i="1"/>
  <c r="I2895" i="1"/>
  <c r="J2895" i="1"/>
  <c r="A2896" i="1"/>
  <c r="B2896" i="1"/>
  <c r="C2896" i="1"/>
  <c r="E2896" i="1"/>
  <c r="I2896" i="1"/>
  <c r="J2896" i="1"/>
  <c r="A2897" i="1"/>
  <c r="B2897" i="1"/>
  <c r="C2897" i="1"/>
  <c r="E2897" i="1"/>
  <c r="I2897" i="1"/>
  <c r="J2897" i="1"/>
  <c r="A2898" i="1"/>
  <c r="B2898" i="1"/>
  <c r="C2898" i="1"/>
  <c r="E2898" i="1"/>
  <c r="I2898" i="1"/>
  <c r="J2898" i="1"/>
  <c r="A2899" i="1"/>
  <c r="B2899" i="1"/>
  <c r="C2899" i="1"/>
  <c r="E2899" i="1"/>
  <c r="I2899" i="1"/>
  <c r="J2899" i="1"/>
  <c r="A2900" i="1"/>
  <c r="B2900" i="1"/>
  <c r="C2900" i="1"/>
  <c r="E2900" i="1"/>
  <c r="I2900" i="1"/>
  <c r="J2900" i="1"/>
  <c r="A2901" i="1"/>
  <c r="B2901" i="1"/>
  <c r="C2901" i="1"/>
  <c r="E2901" i="1"/>
  <c r="I2901" i="1"/>
  <c r="J2901" i="1"/>
  <c r="A2902" i="1"/>
  <c r="B2902" i="1"/>
  <c r="C2902" i="1"/>
  <c r="E2902" i="1"/>
  <c r="I2902" i="1"/>
  <c r="J2902" i="1"/>
  <c r="A2903" i="1"/>
  <c r="B2903" i="1"/>
  <c r="C2903" i="1"/>
  <c r="E2903" i="1"/>
  <c r="I2903" i="1"/>
  <c r="J2903" i="1"/>
  <c r="A2904" i="1"/>
  <c r="B2904" i="1"/>
  <c r="C2904" i="1"/>
  <c r="E2904" i="1"/>
  <c r="I2904" i="1"/>
  <c r="J2904" i="1"/>
  <c r="A2905" i="1"/>
  <c r="B2905" i="1"/>
  <c r="C2905" i="1"/>
  <c r="E2905" i="1"/>
  <c r="I2905" i="1"/>
  <c r="J2905" i="1"/>
  <c r="A2906" i="1"/>
  <c r="B2906" i="1"/>
  <c r="C2906" i="1"/>
  <c r="E2906" i="1"/>
  <c r="I2906" i="1"/>
  <c r="J2906" i="1"/>
  <c r="A2907" i="1"/>
  <c r="B2907" i="1"/>
  <c r="C2907" i="1"/>
  <c r="E2907" i="1"/>
  <c r="I2907" i="1"/>
  <c r="J2907" i="1"/>
  <c r="A2908" i="1"/>
  <c r="B2908" i="1"/>
  <c r="C2908" i="1"/>
  <c r="E2908" i="1"/>
  <c r="I2908" i="1"/>
  <c r="J2908" i="1"/>
  <c r="A2909" i="1"/>
  <c r="B2909" i="1"/>
  <c r="C2909" i="1"/>
  <c r="E2909" i="1"/>
  <c r="I2909" i="1"/>
  <c r="J2909" i="1"/>
  <c r="A2910" i="1"/>
  <c r="B2910" i="1"/>
  <c r="C2910" i="1"/>
  <c r="E2910" i="1"/>
  <c r="I2910" i="1"/>
  <c r="J2910" i="1"/>
  <c r="A2911" i="1"/>
  <c r="B2911" i="1"/>
  <c r="C2911" i="1"/>
  <c r="E2911" i="1"/>
  <c r="I2911" i="1"/>
  <c r="J2911" i="1"/>
  <c r="A2912" i="1"/>
  <c r="B2912" i="1"/>
  <c r="C2912" i="1"/>
  <c r="D2912" i="1"/>
  <c r="E2912" i="1" s="1"/>
  <c r="I2912" i="1"/>
  <c r="J2912" i="1"/>
  <c r="A2913" i="1"/>
  <c r="B2913" i="1"/>
  <c r="C2913" i="1"/>
  <c r="D2913" i="1"/>
  <c r="E2913" i="1" s="1"/>
  <c r="I2913" i="1"/>
  <c r="J2913" i="1"/>
  <c r="A2914" i="1"/>
  <c r="B2914" i="1"/>
  <c r="C2914" i="1"/>
  <c r="D2914" i="1"/>
  <c r="E2914" i="1" s="1"/>
  <c r="I2914" i="1"/>
  <c r="J2914" i="1"/>
  <c r="A2915" i="1"/>
  <c r="B2915" i="1"/>
  <c r="C2915" i="1"/>
  <c r="D2915" i="1"/>
  <c r="E2915" i="1"/>
  <c r="I2915" i="1"/>
  <c r="J2915" i="1"/>
  <c r="A2916" i="1"/>
  <c r="B2916" i="1"/>
  <c r="C2916" i="1"/>
  <c r="D2916" i="1"/>
  <c r="E2916" i="1" s="1"/>
  <c r="I2916" i="1"/>
  <c r="J2916" i="1"/>
  <c r="A2917" i="1"/>
  <c r="B2917" i="1"/>
  <c r="C2917" i="1"/>
  <c r="D2917" i="1"/>
  <c r="E2917" i="1" s="1"/>
  <c r="I2917" i="1"/>
  <c r="J2917" i="1"/>
  <c r="A2918" i="1"/>
  <c r="B2918" i="1"/>
  <c r="C2918" i="1"/>
  <c r="D2918" i="1"/>
  <c r="E2918" i="1" s="1"/>
  <c r="I2918" i="1"/>
  <c r="J2918" i="1"/>
  <c r="A2919" i="1"/>
  <c r="B2919" i="1"/>
  <c r="C2919" i="1"/>
  <c r="D2919" i="1"/>
  <c r="E2919" i="1"/>
  <c r="I2919" i="1"/>
  <c r="J2919" i="1"/>
  <c r="A2920" i="1"/>
  <c r="B2920" i="1"/>
  <c r="C2920" i="1"/>
  <c r="D2920" i="1"/>
  <c r="E2920" i="1" s="1"/>
  <c r="I2920" i="1"/>
  <c r="J2920" i="1"/>
  <c r="A2921" i="1"/>
  <c r="B2921" i="1"/>
  <c r="C2921" i="1"/>
  <c r="D2921" i="1"/>
  <c r="E2921" i="1" s="1"/>
  <c r="I2921" i="1"/>
  <c r="J2921" i="1"/>
  <c r="A2922" i="1"/>
  <c r="B2922" i="1"/>
  <c r="C2922" i="1"/>
  <c r="D2922" i="1"/>
  <c r="E2922" i="1" s="1"/>
  <c r="I2922" i="1"/>
  <c r="J2922" i="1"/>
  <c r="A2923" i="1"/>
  <c r="B2923" i="1"/>
  <c r="C2923" i="1"/>
  <c r="D2923" i="1"/>
  <c r="E2923" i="1"/>
  <c r="I2923" i="1"/>
  <c r="J2923" i="1"/>
  <c r="A2924" i="1"/>
  <c r="B2924" i="1"/>
  <c r="C2924" i="1"/>
  <c r="D2924" i="1"/>
  <c r="E2924" i="1" s="1"/>
  <c r="I2924" i="1"/>
  <c r="J2924" i="1"/>
  <c r="A2925" i="1"/>
  <c r="B2925" i="1"/>
  <c r="C2925" i="1"/>
  <c r="D2925" i="1"/>
  <c r="E2925" i="1" s="1"/>
  <c r="I2925" i="1"/>
  <c r="J2925" i="1"/>
  <c r="A2926" i="1"/>
  <c r="B2926" i="1"/>
  <c r="C2926" i="1"/>
  <c r="D2926" i="1"/>
  <c r="E2926" i="1" s="1"/>
  <c r="I2926" i="1"/>
  <c r="J2926" i="1"/>
  <c r="A2927" i="1"/>
  <c r="B2927" i="1"/>
  <c r="C2927" i="1"/>
  <c r="D2927" i="1"/>
  <c r="E2927" i="1"/>
  <c r="I2927" i="1"/>
  <c r="J2927" i="1"/>
  <c r="A2928" i="1"/>
  <c r="B2928" i="1"/>
  <c r="C2928" i="1"/>
  <c r="D2928" i="1"/>
  <c r="E2928" i="1" s="1"/>
  <c r="I2928" i="1"/>
  <c r="J2928" i="1"/>
  <c r="A2929" i="1"/>
  <c r="B2929" i="1"/>
  <c r="C2929" i="1"/>
  <c r="D2929" i="1"/>
  <c r="E2929" i="1" s="1"/>
  <c r="I2929" i="1"/>
  <c r="J2929" i="1"/>
  <c r="A2930" i="1"/>
  <c r="B2930" i="1"/>
  <c r="C2930" i="1"/>
  <c r="D2930" i="1"/>
  <c r="E2930" i="1" s="1"/>
  <c r="I2930" i="1"/>
  <c r="J2930" i="1"/>
  <c r="A2931" i="1"/>
  <c r="B2931" i="1"/>
  <c r="C2931" i="1"/>
  <c r="D2931" i="1"/>
  <c r="E2931" i="1"/>
  <c r="I2931" i="1"/>
  <c r="J2931" i="1"/>
  <c r="A2932" i="1"/>
  <c r="B2932" i="1"/>
  <c r="C2932" i="1"/>
  <c r="D2932" i="1"/>
  <c r="E2932" i="1" s="1"/>
  <c r="I2932" i="1"/>
  <c r="J2932" i="1"/>
  <c r="A2933" i="1"/>
  <c r="B2933" i="1"/>
  <c r="C2933" i="1"/>
  <c r="D2933" i="1"/>
  <c r="E2933" i="1" s="1"/>
  <c r="I2933" i="1"/>
  <c r="J2933" i="1"/>
  <c r="A2934" i="1"/>
  <c r="B2934" i="1"/>
  <c r="C2934" i="1"/>
  <c r="D2934" i="1"/>
  <c r="E2934" i="1" s="1"/>
  <c r="I2934" i="1"/>
  <c r="J2934" i="1"/>
  <c r="A2935" i="1"/>
  <c r="B2935" i="1"/>
  <c r="C2935" i="1"/>
  <c r="D2935" i="1"/>
  <c r="E2935" i="1"/>
  <c r="I2935" i="1"/>
  <c r="J2935" i="1"/>
  <c r="A2936" i="1"/>
  <c r="B2936" i="1"/>
  <c r="C2936" i="1"/>
  <c r="D2936" i="1"/>
  <c r="E2936" i="1" s="1"/>
  <c r="I2936" i="1"/>
  <c r="J2936" i="1"/>
  <c r="A2937" i="1"/>
  <c r="B2937" i="1"/>
  <c r="C2937" i="1"/>
  <c r="D2937" i="1"/>
  <c r="E2937" i="1" s="1"/>
  <c r="I2937" i="1"/>
  <c r="J2937" i="1"/>
  <c r="A2938" i="1"/>
  <c r="B2938" i="1"/>
  <c r="C2938" i="1"/>
  <c r="D2938" i="1"/>
  <c r="E2938" i="1" s="1"/>
  <c r="I2938" i="1"/>
  <c r="J2938" i="1"/>
  <c r="A2939" i="1"/>
  <c r="B2939" i="1"/>
  <c r="C2939" i="1"/>
  <c r="D2939" i="1"/>
  <c r="E2939" i="1"/>
  <c r="I2939" i="1"/>
  <c r="J2939" i="1"/>
  <c r="A2940" i="1"/>
  <c r="B2940" i="1"/>
  <c r="C2940" i="1"/>
  <c r="D2940" i="1"/>
  <c r="E2940" i="1" s="1"/>
  <c r="I2940" i="1"/>
  <c r="J2940" i="1"/>
  <c r="A2941" i="1"/>
  <c r="B2941" i="1"/>
  <c r="C2941" i="1"/>
  <c r="D2941" i="1"/>
  <c r="E2941" i="1" s="1"/>
  <c r="I2941" i="1"/>
  <c r="J2941" i="1"/>
  <c r="A2942" i="1"/>
  <c r="B2942" i="1"/>
  <c r="C2942" i="1"/>
  <c r="D2942" i="1"/>
  <c r="E2942" i="1" s="1"/>
  <c r="I2942" i="1"/>
  <c r="J2942" i="1"/>
  <c r="A2943" i="1"/>
  <c r="B2943" i="1"/>
  <c r="C2943" i="1"/>
  <c r="D2943" i="1"/>
  <c r="E2943" i="1"/>
  <c r="I2943" i="1"/>
  <c r="J2943" i="1"/>
  <c r="A2944" i="1"/>
  <c r="B2944" i="1"/>
  <c r="C2944" i="1"/>
  <c r="D2944" i="1"/>
  <c r="E2944" i="1" s="1"/>
  <c r="I2944" i="1"/>
  <c r="J2944" i="1"/>
  <c r="E2696" i="1" l="1"/>
  <c r="E2682" i="1"/>
  <c r="E2598" i="1"/>
  <c r="E2593" i="1"/>
  <c r="E2585" i="1"/>
  <c r="E2396" i="1"/>
  <c r="E2394" i="1"/>
  <c r="E2392" i="1"/>
  <c r="E2390" i="1"/>
  <c r="E2388" i="1"/>
  <c r="E2386" i="1"/>
  <c r="E2384" i="1"/>
  <c r="E2382" i="1"/>
  <c r="E2380" i="1"/>
  <c r="E2378" i="1"/>
  <c r="E2376" i="1"/>
  <c r="E2371" i="1"/>
  <c r="E2363" i="1"/>
  <c r="E2355" i="1"/>
  <c r="E2350" i="1"/>
  <c r="E2348" i="1"/>
  <c r="E2293" i="1"/>
  <c r="E2044" i="1"/>
  <c r="E1992" i="1"/>
  <c r="E1990" i="1"/>
  <c r="E1988" i="1"/>
  <c r="E1986" i="1"/>
  <c r="E1984" i="1"/>
  <c r="E1982" i="1"/>
  <c r="E1980" i="1"/>
  <c r="E1978" i="1"/>
  <c r="E1976" i="1"/>
  <c r="E1974" i="1"/>
  <c r="E1972" i="1"/>
  <c r="E1970" i="1"/>
  <c r="E1968" i="1"/>
  <c r="E1966" i="1"/>
  <c r="E1964" i="1"/>
  <c r="E1962" i="1"/>
  <c r="E1960" i="1"/>
  <c r="E1958" i="1"/>
  <c r="E1956" i="1"/>
  <c r="E1951" i="1"/>
  <c r="E1943" i="1"/>
  <c r="E1868" i="1"/>
  <c r="E1765" i="1"/>
  <c r="E1711" i="1"/>
  <c r="E2697" i="1"/>
  <c r="E2689" i="1"/>
  <c r="E2679" i="1"/>
  <c r="E2623" i="1"/>
  <c r="E2621" i="1"/>
  <c r="E2619" i="1"/>
  <c r="E2617" i="1"/>
  <c r="E2615" i="1"/>
  <c r="E2613" i="1"/>
  <c r="E2611" i="1"/>
  <c r="E2609" i="1"/>
  <c r="E2607" i="1"/>
  <c r="E2605" i="1"/>
  <c r="E2603" i="1"/>
  <c r="E2601" i="1"/>
  <c r="E2599" i="1"/>
  <c r="E2594" i="1"/>
  <c r="E2582" i="1"/>
  <c r="E2580" i="1"/>
  <c r="E2578" i="1"/>
  <c r="E2576" i="1"/>
  <c r="E2574" i="1"/>
  <c r="E2572" i="1"/>
  <c r="E2570" i="1"/>
  <c r="E2568" i="1"/>
  <c r="E2566" i="1"/>
  <c r="E2564" i="1"/>
  <c r="E2525" i="1"/>
  <c r="E2523" i="1"/>
  <c r="E2521" i="1"/>
  <c r="E2519" i="1"/>
  <c r="E2517" i="1"/>
  <c r="E2515" i="1"/>
  <c r="E2513" i="1"/>
  <c r="E2511" i="1"/>
  <c r="E2509" i="1"/>
  <c r="E2507" i="1"/>
  <c r="E2505" i="1"/>
  <c r="E2503" i="1"/>
  <c r="E2501" i="1"/>
  <c r="E2499" i="1"/>
  <c r="E2497" i="1"/>
  <c r="E2495" i="1"/>
  <c r="E2700" i="1"/>
  <c r="E2692" i="1"/>
  <c r="E2687" i="1"/>
  <c r="E2698" i="1"/>
  <c r="E2690" i="1"/>
  <c r="E2685" i="1"/>
  <c r="E2666" i="1"/>
  <c r="E2664" i="1"/>
  <c r="E2662" i="1"/>
  <c r="E2660" i="1"/>
  <c r="E2658" i="1"/>
  <c r="E2656" i="1"/>
  <c r="E2654" i="1"/>
  <c r="E2652" i="1"/>
  <c r="E2650" i="1"/>
  <c r="E2648" i="1"/>
  <c r="E2646" i="1"/>
  <c r="E2644" i="1"/>
  <c r="E2642" i="1"/>
  <c r="E2640" i="1"/>
  <c r="E2638" i="1"/>
  <c r="E2636" i="1"/>
  <c r="E2634" i="1"/>
  <c r="E2632" i="1"/>
  <c r="E2630" i="1"/>
  <c r="E2628" i="1"/>
  <c r="E2626" i="1"/>
  <c r="E2624" i="1"/>
  <c r="E2563" i="1"/>
  <c r="E2561" i="1"/>
  <c r="E2559" i="1"/>
  <c r="E2557" i="1"/>
  <c r="E2555" i="1"/>
  <c r="E2553" i="1"/>
  <c r="E2541" i="1"/>
  <c r="E2539" i="1"/>
  <c r="E2537" i="1"/>
  <c r="E1289" i="1"/>
  <c r="E1230" i="1"/>
  <c r="E1222" i="1"/>
  <c r="E1214" i="1"/>
  <c r="E1147" i="1"/>
  <c r="E1145" i="1"/>
  <c r="E1143" i="1"/>
  <c r="E1141" i="1"/>
  <c r="E1139" i="1"/>
  <c r="E1137" i="1"/>
  <c r="E1135" i="1"/>
  <c r="E1133" i="1"/>
  <c r="E1131" i="1"/>
  <c r="E1129" i="1"/>
  <c r="E1127" i="1"/>
  <c r="E1125" i="1"/>
  <c r="E1123" i="1"/>
  <c r="E1121" i="1"/>
  <c r="E1119" i="1"/>
  <c r="E1034" i="1"/>
  <c r="E969" i="1"/>
  <c r="E2493" i="1"/>
  <c r="E2491" i="1"/>
  <c r="E2489" i="1"/>
  <c r="E2487" i="1"/>
  <c r="E2485" i="1"/>
  <c r="E2483" i="1"/>
  <c r="E2481" i="1"/>
  <c r="E2479" i="1"/>
  <c r="E2477" i="1"/>
  <c r="E2475" i="1"/>
  <c r="E2473" i="1"/>
  <c r="E2471" i="1"/>
  <c r="E2469" i="1"/>
  <c r="E2467" i="1"/>
  <c r="E2465" i="1"/>
  <c r="E2463" i="1"/>
  <c r="E2461" i="1"/>
  <c r="E2459" i="1"/>
  <c r="E2457" i="1"/>
  <c r="E2455" i="1"/>
  <c r="E2453" i="1"/>
  <c r="E2451" i="1"/>
  <c r="E2449" i="1"/>
  <c r="E2447" i="1"/>
  <c r="E2445" i="1"/>
  <c r="E2443" i="1"/>
  <c r="E2441" i="1"/>
  <c r="E2439" i="1"/>
  <c r="E2437" i="1"/>
  <c r="E2435" i="1"/>
  <c r="E2433" i="1"/>
  <c r="E2431" i="1"/>
  <c r="E2429" i="1"/>
  <c r="E2427" i="1"/>
  <c r="E2425" i="1"/>
  <c r="E2423" i="1"/>
  <c r="E2421" i="1"/>
  <c r="E2419" i="1"/>
  <c r="E2417" i="1"/>
  <c r="E2415" i="1"/>
  <c r="E2413" i="1"/>
  <c r="E2411" i="1"/>
  <c r="E2409" i="1"/>
  <c r="E2407" i="1"/>
  <c r="E2405" i="1"/>
  <c r="E2403" i="1"/>
  <c r="E2401" i="1"/>
  <c r="E2399" i="1"/>
  <c r="E2372" i="1"/>
  <c r="E2364" i="1"/>
  <c r="E2356" i="1"/>
  <c r="E2296" i="1"/>
  <c r="E2274" i="1"/>
  <c r="E2272" i="1"/>
  <c r="E2270" i="1"/>
  <c r="E2268" i="1"/>
  <c r="E2266" i="1"/>
  <c r="E2045" i="1"/>
  <c r="E1952" i="1"/>
  <c r="E1944" i="1"/>
  <c r="E1934" i="1"/>
  <c r="E1932" i="1"/>
  <c r="E1898" i="1"/>
  <c r="E1896" i="1"/>
  <c r="E1894" i="1"/>
  <c r="E1871" i="1"/>
  <c r="E1869" i="1"/>
  <c r="E1766" i="1"/>
  <c r="E1744" i="1"/>
  <c r="E1742" i="1"/>
  <c r="E1740" i="1"/>
  <c r="E1738" i="1"/>
  <c r="E1736" i="1"/>
  <c r="E1734" i="1"/>
  <c r="E1732" i="1"/>
  <c r="E1730" i="1"/>
  <c r="E1728" i="1"/>
  <c r="E1726" i="1"/>
  <c r="E1724" i="1"/>
  <c r="E1722" i="1"/>
  <c r="E1720" i="1"/>
  <c r="E1718" i="1"/>
  <c r="E1716" i="1"/>
  <c r="E1714" i="1"/>
  <c r="E1712" i="1"/>
  <c r="E2395" i="1"/>
  <c r="E2393" i="1"/>
  <c r="E2391" i="1"/>
  <c r="E2389" i="1"/>
  <c r="E2387" i="1"/>
  <c r="E2385" i="1"/>
  <c r="E2383" i="1"/>
  <c r="E2381" i="1"/>
  <c r="E2379" i="1"/>
  <c r="E2377" i="1"/>
  <c r="E2375" i="1"/>
  <c r="E2367" i="1"/>
  <c r="E2359" i="1"/>
  <c r="E2351" i="1"/>
  <c r="E2349" i="1"/>
  <c r="E2294" i="1"/>
  <c r="E1991" i="1"/>
  <c r="E1989" i="1"/>
  <c r="E1987" i="1"/>
  <c r="E1985" i="1"/>
  <c r="E1983" i="1"/>
  <c r="E1981" i="1"/>
  <c r="E1979" i="1"/>
  <c r="E1977" i="1"/>
  <c r="E1975" i="1"/>
  <c r="E1973" i="1"/>
  <c r="E1971" i="1"/>
  <c r="E1969" i="1"/>
  <c r="E1967" i="1"/>
  <c r="E1965" i="1"/>
  <c r="E1963" i="1"/>
  <c r="E1961" i="1"/>
  <c r="E1959" i="1"/>
  <c r="E1957" i="1"/>
  <c r="E1955" i="1"/>
  <c r="E1947" i="1"/>
  <c r="E1939" i="1"/>
  <c r="E1707" i="1"/>
  <c r="E2373" i="1"/>
  <c r="E2365" i="1"/>
  <c r="E2357" i="1"/>
  <c r="E2345" i="1"/>
  <c r="E2343" i="1"/>
  <c r="E2341" i="1"/>
  <c r="E2339" i="1"/>
  <c r="E2337" i="1"/>
  <c r="E2335" i="1"/>
  <c r="E2333" i="1"/>
  <c r="E2331" i="1"/>
  <c r="E2329" i="1"/>
  <c r="E2327" i="1"/>
  <c r="E2325" i="1"/>
  <c r="E2323" i="1"/>
  <c r="E2321" i="1"/>
  <c r="E2319" i="1"/>
  <c r="E2317" i="1"/>
  <c r="E2315" i="1"/>
  <c r="E2313" i="1"/>
  <c r="E2311" i="1"/>
  <c r="E2309" i="1"/>
  <c r="E2307" i="1"/>
  <c r="E2305" i="1"/>
  <c r="E2303" i="1"/>
  <c r="E2301" i="1"/>
  <c r="E2299" i="1"/>
  <c r="E2297" i="1"/>
  <c r="E2275" i="1"/>
  <c r="E2265" i="1"/>
  <c r="E2263" i="1"/>
  <c r="E2261" i="1"/>
  <c r="E2259" i="1"/>
  <c r="E2257" i="1"/>
  <c r="E2255" i="1"/>
  <c r="E2253" i="1"/>
  <c r="E2251" i="1"/>
  <c r="E2224" i="1"/>
  <c r="E2222" i="1"/>
  <c r="E2220" i="1"/>
  <c r="E2218" i="1"/>
  <c r="E2216" i="1"/>
  <c r="E2214" i="1"/>
  <c r="E2212" i="1"/>
  <c r="E2210" i="1"/>
  <c r="E2208" i="1"/>
  <c r="E2206" i="1"/>
  <c r="E2204" i="1"/>
  <c r="E2202" i="1"/>
  <c r="E2200" i="1"/>
  <c r="E2198" i="1"/>
  <c r="E2196" i="1"/>
  <c r="E2194" i="1"/>
  <c r="E2192" i="1"/>
  <c r="E2190" i="1"/>
  <c r="E2188" i="1"/>
  <c r="E2186" i="1"/>
  <c r="E2184" i="1"/>
  <c r="E2182" i="1"/>
  <c r="E2180" i="1"/>
  <c r="E2178" i="1"/>
  <c r="E2176" i="1"/>
  <c r="E2174" i="1"/>
  <c r="E2172" i="1"/>
  <c r="E2170" i="1"/>
  <c r="E2168" i="1"/>
  <c r="E2166" i="1"/>
  <c r="E2164" i="1"/>
  <c r="E2162" i="1"/>
  <c r="E2160" i="1"/>
  <c r="E2158" i="1"/>
  <c r="E2156" i="1"/>
  <c r="E2154" i="1"/>
  <c r="E2152" i="1"/>
  <c r="E2150" i="1"/>
  <c r="E2148" i="1"/>
  <c r="E2146" i="1"/>
  <c r="E2144" i="1"/>
  <c r="E2142" i="1"/>
  <c r="E2140" i="1"/>
  <c r="E2138" i="1"/>
  <c r="E2136" i="1"/>
  <c r="E2134" i="1"/>
  <c r="E2132" i="1"/>
  <c r="E2130" i="1"/>
  <c r="E2128" i="1"/>
  <c r="E2126" i="1"/>
  <c r="E2124" i="1"/>
  <c r="E2122" i="1"/>
  <c r="E2120" i="1"/>
  <c r="E2118" i="1"/>
  <c r="E2116" i="1"/>
  <c r="E2114" i="1"/>
  <c r="E2112" i="1"/>
  <c r="E2110" i="1"/>
  <c r="E2108" i="1"/>
  <c r="E2106" i="1"/>
  <c r="E2104" i="1"/>
  <c r="E2102" i="1"/>
  <c r="E2100" i="1"/>
  <c r="E2098" i="1"/>
  <c r="E2096" i="1"/>
  <c r="E2094" i="1"/>
  <c r="E2092" i="1"/>
  <c r="E2090" i="1"/>
  <c r="E2088" i="1"/>
  <c r="E2086" i="1"/>
  <c r="E2084" i="1"/>
  <c r="E2082" i="1"/>
  <c r="E2080" i="1"/>
  <c r="E2078" i="1"/>
  <c r="E2076" i="1"/>
  <c r="E2074" i="1"/>
  <c r="E2072" i="1"/>
  <c r="E2070" i="1"/>
  <c r="E2068" i="1"/>
  <c r="E2066" i="1"/>
  <c r="E2064" i="1"/>
  <c r="E2062" i="1"/>
  <c r="E2060" i="1"/>
  <c r="E2058" i="1"/>
  <c r="E2056" i="1"/>
  <c r="E2054" i="1"/>
  <c r="E2052" i="1"/>
  <c r="E2050" i="1"/>
  <c r="E2048" i="1"/>
  <c r="E2046" i="1"/>
  <c r="E1953" i="1"/>
  <c r="E1945" i="1"/>
  <c r="E1929" i="1"/>
  <c r="E1927" i="1"/>
  <c r="E1925" i="1"/>
  <c r="E1923" i="1"/>
  <c r="E1921" i="1"/>
  <c r="E1919" i="1"/>
  <c r="E1917" i="1"/>
  <c r="E1915" i="1"/>
  <c r="E1913" i="1"/>
  <c r="E1911" i="1"/>
  <c r="E1909" i="1"/>
  <c r="E1907" i="1"/>
  <c r="E1905" i="1"/>
  <c r="E1903" i="1"/>
  <c r="E1901" i="1"/>
  <c r="E1899" i="1"/>
  <c r="E1767" i="1"/>
  <c r="E1705" i="1"/>
  <c r="E1703" i="1"/>
  <c r="E1701" i="1"/>
  <c r="E1699" i="1"/>
  <c r="E1697" i="1"/>
  <c r="E1695" i="1"/>
  <c r="E1693" i="1"/>
  <c r="E1691" i="1"/>
  <c r="E1689" i="1"/>
  <c r="E1687" i="1"/>
  <c r="E1685" i="1"/>
  <c r="E1683" i="1"/>
  <c r="E1681" i="1"/>
  <c r="E1679" i="1"/>
  <c r="E1677" i="1"/>
  <c r="E1650" i="1"/>
  <c r="E1648" i="1"/>
  <c r="E1646" i="1"/>
  <c r="E1644" i="1"/>
  <c r="E1642" i="1"/>
  <c r="E1640" i="1"/>
  <c r="E831" i="1"/>
  <c r="E785" i="1"/>
  <c r="E780" i="1"/>
  <c r="E778" i="1"/>
  <c r="E776" i="1"/>
  <c r="E774" i="1"/>
  <c r="E772" i="1"/>
  <c r="E770" i="1"/>
  <c r="E665" i="1"/>
  <c r="E645" i="1"/>
  <c r="E643" i="1"/>
  <c r="E641" i="1"/>
  <c r="E639" i="1"/>
  <c r="E637" i="1"/>
  <c r="E635" i="1"/>
  <c r="E633" i="1"/>
  <c r="E631" i="1"/>
  <c r="E626" i="1"/>
  <c r="E621" i="1"/>
  <c r="E616" i="1"/>
  <c r="E603" i="1"/>
  <c r="E598" i="1"/>
  <c r="E593" i="1"/>
  <c r="E580" i="1"/>
  <c r="E572" i="1"/>
  <c r="E570" i="1"/>
  <c r="E568" i="1"/>
  <c r="E566" i="1"/>
  <c r="E564" i="1"/>
  <c r="E562" i="1"/>
  <c r="E1445" i="1"/>
  <c r="E1443" i="1"/>
  <c r="E1441" i="1"/>
  <c r="E1439" i="1"/>
  <c r="E1437" i="1"/>
  <c r="E1435" i="1"/>
  <c r="E1433" i="1"/>
  <c r="E1431" i="1"/>
  <c r="E1429" i="1"/>
  <c r="E1427" i="1"/>
  <c r="E1425" i="1"/>
  <c r="E1638" i="1"/>
  <c r="E1636" i="1"/>
  <c r="E1634" i="1"/>
  <c r="E1632" i="1"/>
  <c r="E1630" i="1"/>
  <c r="E1628" i="1"/>
  <c r="E1626" i="1"/>
  <c r="E1624" i="1"/>
  <c r="E1622" i="1"/>
  <c r="E1620" i="1"/>
  <c r="E1618" i="1"/>
  <c r="E1616" i="1"/>
  <c r="E1614" i="1"/>
  <c r="E1612" i="1"/>
  <c r="E1610" i="1"/>
  <c r="E1608" i="1"/>
  <c r="E1606" i="1"/>
  <c r="E1604" i="1"/>
  <c r="E1602" i="1"/>
  <c r="E1600" i="1"/>
  <c r="E1598" i="1"/>
  <c r="E1596" i="1"/>
  <c r="E1594" i="1"/>
  <c r="E1592" i="1"/>
  <c r="E1590" i="1"/>
  <c r="E1588" i="1"/>
  <c r="E1586" i="1"/>
  <c r="E1584" i="1"/>
  <c r="E1582" i="1"/>
  <c r="E1580" i="1"/>
  <c r="E1578" i="1"/>
  <c r="E1576" i="1"/>
  <c r="E1574" i="1"/>
  <c r="E1572" i="1"/>
  <c r="E1570" i="1"/>
  <c r="E1568" i="1"/>
  <c r="E1566" i="1"/>
  <c r="E1564" i="1"/>
  <c r="E1562" i="1"/>
  <c r="E1560" i="1"/>
  <c r="E1558" i="1"/>
  <c r="E1556" i="1"/>
  <c r="E1554" i="1"/>
  <c r="E1552" i="1"/>
  <c r="E1550" i="1"/>
  <c r="E1548" i="1"/>
  <c r="E1546" i="1"/>
  <c r="E1544" i="1"/>
  <c r="E1542" i="1"/>
  <c r="E1540" i="1"/>
  <c r="E1538" i="1"/>
  <c r="E1536" i="1"/>
  <c r="E1534" i="1"/>
  <c r="E1532" i="1"/>
  <c r="E1530" i="1"/>
  <c r="E1528" i="1"/>
  <c r="E1526" i="1"/>
  <c r="E1524" i="1"/>
  <c r="E1522" i="1"/>
  <c r="E1520" i="1"/>
  <c r="E1518" i="1"/>
  <c r="E1516" i="1"/>
  <c r="E1514" i="1"/>
  <c r="E1512" i="1"/>
  <c r="E1510" i="1"/>
  <c r="E1508" i="1"/>
  <c r="E1506" i="1"/>
  <c r="E1504" i="1"/>
  <c r="E1502" i="1"/>
  <c r="E1481" i="1"/>
  <c r="E1479" i="1"/>
  <c r="E1477" i="1"/>
  <c r="E1475" i="1"/>
  <c r="E1473" i="1"/>
  <c r="E1471" i="1"/>
  <c r="E1469" i="1"/>
  <c r="E1467" i="1"/>
  <c r="E1465" i="1"/>
  <c r="E1463" i="1"/>
  <c r="E1461" i="1"/>
  <c r="E1459" i="1"/>
  <c r="E1457" i="1"/>
  <c r="E1455" i="1"/>
  <c r="E1453" i="1"/>
  <c r="E1446" i="1"/>
  <c r="E1269" i="1"/>
  <c r="E1267" i="1"/>
  <c r="E1265" i="1"/>
  <c r="E1263" i="1"/>
  <c r="E1261" i="1"/>
  <c r="E1259" i="1"/>
  <c r="E1257" i="1"/>
  <c r="E1255" i="1"/>
  <c r="E1253" i="1"/>
  <c r="E1251" i="1"/>
  <c r="E1249" i="1"/>
  <c r="E1247" i="1"/>
  <c r="E1245" i="1"/>
  <c r="E1243" i="1"/>
  <c r="E1241" i="1"/>
  <c r="E1239" i="1"/>
  <c r="E1237" i="1"/>
  <c r="E1235" i="1"/>
  <c r="E1227" i="1"/>
  <c r="E1219" i="1"/>
  <c r="E1211" i="1"/>
  <c r="E1206" i="1"/>
  <c r="E1204" i="1"/>
  <c r="E1202" i="1"/>
  <c r="E1200" i="1"/>
  <c r="E1198" i="1"/>
  <c r="E1196" i="1"/>
  <c r="E1194" i="1"/>
  <c r="E1192" i="1"/>
  <c r="E1190" i="1"/>
  <c r="E1188" i="1"/>
  <c r="E1186" i="1"/>
  <c r="E1184" i="1"/>
  <c r="E1182" i="1"/>
  <c r="E1180" i="1"/>
  <c r="E1178" i="1"/>
  <c r="E1176" i="1"/>
  <c r="E1174" i="1"/>
  <c r="E1172" i="1"/>
  <c r="E1170" i="1"/>
  <c r="E971" i="1"/>
  <c r="E782" i="1"/>
  <c r="E560" i="1"/>
  <c r="E558" i="1"/>
  <c r="E556" i="1"/>
  <c r="E554" i="1"/>
  <c r="E552" i="1"/>
  <c r="E550" i="1"/>
  <c r="E548" i="1"/>
  <c r="E546" i="1"/>
  <c r="E544" i="1"/>
  <c r="E542" i="1"/>
  <c r="E540" i="1"/>
  <c r="E538" i="1"/>
  <c r="E536" i="1"/>
  <c r="E534" i="1"/>
  <c r="E532" i="1"/>
  <c r="E530" i="1"/>
  <c r="E528" i="1"/>
  <c r="E526" i="1"/>
  <c r="E524" i="1"/>
  <c r="E522" i="1"/>
  <c r="E520" i="1"/>
  <c r="E518" i="1"/>
  <c r="E491" i="1"/>
  <c r="E489" i="1"/>
  <c r="E487" i="1"/>
  <c r="E485" i="1"/>
  <c r="E483" i="1"/>
  <c r="E481" i="1"/>
  <c r="E479" i="1"/>
  <c r="E477" i="1"/>
  <c r="E475" i="1"/>
  <c r="E473" i="1"/>
  <c r="E471" i="1"/>
  <c r="E469" i="1"/>
  <c r="E467" i="1"/>
  <c r="E465" i="1"/>
  <c r="E463" i="1"/>
  <c r="E461" i="1"/>
  <c r="E459" i="1"/>
  <c r="E457" i="1"/>
  <c r="E455" i="1"/>
  <c r="E453" i="1"/>
  <c r="E451" i="1"/>
  <c r="E449" i="1"/>
  <c r="E447" i="1"/>
  <c r="E445" i="1"/>
  <c r="E443" i="1"/>
  <c r="E441" i="1"/>
  <c r="E391" i="1"/>
  <c r="E386" i="1"/>
  <c r="E348" i="1"/>
  <c r="E346" i="1"/>
  <c r="E344" i="1"/>
  <c r="E342" i="1"/>
  <c r="E298" i="1"/>
  <c r="E139" i="1"/>
  <c r="E137" i="1"/>
  <c r="E133" i="1"/>
  <c r="E111" i="1"/>
  <c r="E109" i="1"/>
  <c r="E107" i="1"/>
  <c r="E105" i="1"/>
  <c r="E103" i="1"/>
  <c r="E101" i="1"/>
  <c r="E99" i="1"/>
  <c r="E97" i="1"/>
  <c r="E95" i="1"/>
  <c r="E93" i="1"/>
  <c r="E91" i="1"/>
  <c r="E89" i="1"/>
  <c r="E87" i="1"/>
  <c r="E85" i="1"/>
  <c r="E83" i="1"/>
  <c r="E81" i="1"/>
  <c r="E79" i="1"/>
  <c r="E77" i="1"/>
  <c r="E43" i="1"/>
  <c r="E20" i="1"/>
  <c r="E18" i="1"/>
  <c r="E16" i="1"/>
  <c r="E14" i="1"/>
  <c r="E12" i="1"/>
  <c r="E10" i="1"/>
  <c r="E8" i="1"/>
  <c r="E6" i="1"/>
  <c r="E812" i="1"/>
  <c r="E810" i="1"/>
  <c r="E808" i="1"/>
  <c r="E806" i="1"/>
  <c r="E804" i="1"/>
  <c r="E802" i="1"/>
  <c r="E800" i="1"/>
  <c r="E798" i="1"/>
  <c r="E796" i="1"/>
  <c r="E794" i="1"/>
  <c r="E792" i="1"/>
  <c r="E790" i="1"/>
  <c r="E1290" i="1"/>
  <c r="E1268" i="1"/>
  <c r="E1266" i="1"/>
  <c r="E1264" i="1"/>
  <c r="E1262" i="1"/>
  <c r="E1260" i="1"/>
  <c r="E1258" i="1"/>
  <c r="E1256" i="1"/>
  <c r="E1254" i="1"/>
  <c r="E1252" i="1"/>
  <c r="E1250" i="1"/>
  <c r="E1248" i="1"/>
  <c r="E1246" i="1"/>
  <c r="E1244" i="1"/>
  <c r="E1242" i="1"/>
  <c r="E1240" i="1"/>
  <c r="E1238" i="1"/>
  <c r="E1236" i="1"/>
  <c r="E1231" i="1"/>
  <c r="E1223" i="1"/>
  <c r="E1215" i="1"/>
  <c r="E1207" i="1"/>
  <c r="E1205" i="1"/>
  <c r="E1203" i="1"/>
  <c r="E1201" i="1"/>
  <c r="E1199" i="1"/>
  <c r="E1197" i="1"/>
  <c r="E1195" i="1"/>
  <c r="E1193" i="1"/>
  <c r="E1191" i="1"/>
  <c r="E1189" i="1"/>
  <c r="E1187" i="1"/>
  <c r="E1185" i="1"/>
  <c r="E1183" i="1"/>
  <c r="E1181" i="1"/>
  <c r="E1179" i="1"/>
  <c r="E1177" i="1"/>
  <c r="E1175" i="1"/>
  <c r="E1173" i="1"/>
  <c r="E1171" i="1"/>
  <c r="E1035" i="1"/>
  <c r="E970" i="1"/>
  <c r="E832" i="1"/>
  <c r="E786" i="1"/>
  <c r="E769" i="1"/>
  <c r="E923" i="1"/>
  <c r="E921" i="1"/>
  <c r="E919" i="1"/>
  <c r="E917" i="1"/>
  <c r="E915" i="1"/>
  <c r="E913" i="1"/>
  <c r="E911" i="1"/>
  <c r="E909" i="1"/>
  <c r="E907" i="1"/>
  <c r="E905" i="1"/>
  <c r="E903" i="1"/>
  <c r="E901" i="1"/>
  <c r="E899" i="1"/>
  <c r="E897" i="1"/>
  <c r="E895" i="1"/>
  <c r="E893" i="1"/>
  <c r="E891" i="1"/>
  <c r="E889" i="1"/>
  <c r="E887" i="1"/>
  <c r="E885" i="1"/>
  <c r="E883" i="1"/>
  <c r="E881" i="1"/>
  <c r="E879" i="1"/>
  <c r="E877" i="1"/>
  <c r="E875" i="1"/>
  <c r="E873" i="1"/>
  <c r="E871" i="1"/>
  <c r="E869" i="1"/>
  <c r="E867" i="1"/>
  <c r="E865" i="1"/>
  <c r="E863" i="1"/>
  <c r="E861" i="1"/>
  <c r="E859" i="1"/>
  <c r="E857" i="1"/>
  <c r="E855" i="1"/>
  <c r="E853" i="1"/>
  <c r="E851" i="1"/>
  <c r="E849" i="1"/>
  <c r="E847" i="1"/>
  <c r="E845" i="1"/>
  <c r="E843" i="1"/>
  <c r="E841" i="1"/>
  <c r="E839" i="1"/>
  <c r="E837" i="1"/>
  <c r="E835" i="1"/>
  <c r="E833" i="1"/>
  <c r="E811" i="1"/>
  <c r="E809" i="1"/>
  <c r="E807" i="1"/>
  <c r="E805" i="1"/>
  <c r="E803" i="1"/>
  <c r="E801" i="1"/>
  <c r="E799" i="1"/>
  <c r="E797" i="1"/>
  <c r="E788" i="1"/>
  <c r="E783" i="1"/>
  <c r="E767" i="1"/>
  <c r="E765" i="1"/>
  <c r="E763" i="1"/>
  <c r="E761" i="1"/>
  <c r="E759" i="1"/>
  <c r="E757" i="1"/>
  <c r="E734" i="1"/>
  <c r="E732" i="1"/>
  <c r="E730" i="1"/>
  <c r="E728" i="1"/>
  <c r="E726" i="1"/>
  <c r="E724" i="1"/>
  <c r="E722" i="1"/>
  <c r="E720" i="1"/>
  <c r="E718" i="1"/>
  <c r="E716" i="1"/>
  <c r="E714" i="1"/>
  <c r="E712" i="1"/>
  <c r="E710" i="1"/>
  <c r="E708" i="1"/>
  <c r="E706" i="1"/>
  <c r="E704" i="1"/>
  <c r="E702" i="1"/>
  <c r="E700" i="1"/>
  <c r="E698" i="1"/>
  <c r="E696" i="1"/>
  <c r="E694" i="1"/>
  <c r="E692" i="1"/>
  <c r="E690" i="1"/>
  <c r="E688" i="1"/>
  <c r="E686" i="1"/>
  <c r="E684" i="1"/>
  <c r="E682" i="1"/>
  <c r="E680" i="1"/>
  <c r="E678" i="1"/>
  <c r="E676" i="1"/>
  <c r="E674" i="1"/>
  <c r="E672" i="1"/>
  <c r="E670" i="1"/>
  <c r="E668" i="1"/>
  <c r="E663" i="1"/>
  <c r="E624" i="1"/>
  <c r="E619" i="1"/>
  <c r="E614" i="1"/>
  <c r="E609" i="1"/>
  <c r="E596" i="1"/>
  <c r="E591" i="1"/>
  <c r="E586" i="1"/>
  <c r="E578" i="1"/>
  <c r="E389" i="1"/>
  <c r="E384" i="1"/>
  <c r="E382" i="1"/>
  <c r="E380" i="1"/>
  <c r="E378" i="1"/>
  <c r="E376" i="1"/>
  <c r="E374" i="1"/>
  <c r="E372" i="1"/>
  <c r="E370" i="1"/>
  <c r="E368" i="1"/>
  <c r="E366" i="1"/>
  <c r="E280" i="1"/>
  <c r="E278" i="1"/>
  <c r="E276" i="1"/>
  <c r="E274" i="1"/>
  <c r="E272" i="1"/>
  <c r="E270" i="1"/>
  <c r="E268" i="1"/>
  <c r="E266" i="1"/>
  <c r="E264" i="1"/>
  <c r="E262" i="1"/>
  <c r="E260" i="1"/>
  <c r="E258" i="1"/>
  <c r="E256" i="1"/>
  <c r="E254" i="1"/>
  <c r="E241" i="1"/>
  <c r="E161" i="1"/>
  <c r="E159" i="1"/>
  <c r="E157" i="1"/>
  <c r="E155" i="1"/>
  <c r="E153" i="1"/>
  <c r="E151" i="1"/>
  <c r="E149" i="1"/>
  <c r="E52" i="1"/>
  <c r="E666" i="1"/>
  <c r="E661" i="1"/>
  <c r="E659" i="1"/>
  <c r="E657" i="1"/>
  <c r="E655" i="1"/>
  <c r="E653" i="1"/>
  <c r="E651" i="1"/>
  <c r="E649" i="1"/>
  <c r="E627" i="1"/>
  <c r="E622" i="1"/>
  <c r="E604" i="1"/>
  <c r="E599" i="1"/>
  <c r="E594" i="1"/>
  <c r="E581" i="1"/>
  <c r="E573" i="1"/>
  <c r="E507" i="1"/>
  <c r="E505" i="1"/>
  <c r="E503" i="1"/>
  <c r="E434" i="1"/>
  <c r="E424" i="1"/>
  <c r="E422" i="1"/>
  <c r="E420" i="1"/>
  <c r="E418" i="1"/>
  <c r="E416" i="1"/>
  <c r="E414" i="1"/>
  <c r="E412" i="1"/>
  <c r="E410" i="1"/>
  <c r="E408" i="1"/>
  <c r="E406" i="1"/>
  <c r="E404" i="1"/>
  <c r="E402" i="1"/>
  <c r="E400" i="1"/>
  <c r="E398" i="1"/>
  <c r="E396" i="1"/>
  <c r="E394" i="1"/>
  <c r="E392" i="1"/>
  <c r="E387" i="1"/>
  <c r="E299" i="1"/>
  <c r="E239" i="1"/>
  <c r="E44" i="1"/>
  <c r="E664" i="1"/>
  <c r="E625" i="1"/>
  <c r="E620" i="1"/>
  <c r="E615" i="1"/>
  <c r="E592" i="1"/>
  <c r="E440" i="1"/>
  <c r="E390" i="1"/>
  <c r="E385" i="1"/>
  <c r="E365" i="1"/>
  <c r="E363" i="1"/>
  <c r="E361" i="1"/>
  <c r="E359" i="1"/>
  <c r="E328" i="1"/>
  <c r="E326" i="1"/>
  <c r="E324" i="1"/>
  <c r="E322" i="1"/>
  <c r="E320" i="1"/>
  <c r="E318" i="1"/>
  <c r="E316" i="1"/>
  <c r="E314" i="1"/>
  <c r="E312" i="1"/>
  <c r="E310" i="1"/>
  <c r="E308" i="1"/>
  <c r="E306" i="1"/>
  <c r="E302" i="1"/>
  <c r="E297" i="1"/>
  <c r="E295" i="1"/>
  <c r="E293" i="1"/>
  <c r="E291" i="1"/>
  <c r="E289" i="1"/>
  <c r="E287" i="1"/>
  <c r="E285" i="1"/>
  <c r="E283" i="1"/>
  <c r="E250" i="1"/>
  <c r="E248" i="1"/>
  <c r="E246" i="1"/>
  <c r="E244" i="1"/>
  <c r="E242" i="1"/>
  <c r="E795" i="1"/>
  <c r="E793" i="1"/>
  <c r="E791" i="1"/>
  <c r="E789" i="1"/>
  <c r="E787" i="1"/>
  <c r="E768" i="1"/>
  <c r="E766" i="1"/>
  <c r="E764" i="1"/>
  <c r="E762" i="1"/>
  <c r="E760" i="1"/>
  <c r="E758" i="1"/>
  <c r="E733" i="1"/>
  <c r="E731" i="1"/>
  <c r="E729" i="1"/>
  <c r="E727" i="1"/>
  <c r="E725" i="1"/>
  <c r="E723" i="1"/>
  <c r="E721" i="1"/>
  <c r="E719" i="1"/>
  <c r="E717" i="1"/>
  <c r="E715" i="1"/>
  <c r="E713" i="1"/>
  <c r="E711" i="1"/>
  <c r="E709" i="1"/>
  <c r="E707" i="1"/>
  <c r="E705" i="1"/>
  <c r="E703" i="1"/>
  <c r="E701" i="1"/>
  <c r="E699" i="1"/>
  <c r="E697" i="1"/>
  <c r="E695" i="1"/>
  <c r="E693" i="1"/>
  <c r="E691" i="1"/>
  <c r="E689" i="1"/>
  <c r="E687" i="1"/>
  <c r="E685" i="1"/>
  <c r="E683" i="1"/>
  <c r="E681" i="1"/>
  <c r="E679" i="1"/>
  <c r="E677" i="1"/>
  <c r="E675" i="1"/>
  <c r="E673" i="1"/>
  <c r="E671" i="1"/>
  <c r="E669" i="1"/>
  <c r="E667" i="1"/>
  <c r="E628" i="1"/>
  <c r="E623" i="1"/>
  <c r="E610" i="1"/>
  <c r="E605" i="1"/>
  <c r="E600" i="1"/>
  <c r="E595" i="1"/>
  <c r="E587" i="1"/>
  <c r="E582" i="1"/>
  <c r="E574" i="1"/>
  <c r="E160" i="1"/>
  <c r="E158" i="1"/>
  <c r="E156" i="1"/>
  <c r="E154" i="1"/>
  <c r="E152" i="1"/>
  <c r="E150" i="1"/>
  <c r="E130" i="1"/>
  <c r="E65" i="1"/>
  <c r="E63" i="1"/>
  <c r="E53" i="1"/>
  <c r="E49" i="1"/>
  <c r="E47" i="1"/>
  <c r="E45" i="1"/>
  <c r="E40" i="1"/>
  <c r="E38" i="1"/>
  <c r="E36" i="1"/>
  <c r="E34" i="1"/>
  <c r="E662" i="1"/>
  <c r="E660" i="1"/>
  <c r="E658" i="1"/>
  <c r="E656" i="1"/>
  <c r="E654" i="1"/>
  <c r="E652" i="1"/>
  <c r="E650" i="1"/>
  <c r="E618" i="1"/>
  <c r="E613" i="1"/>
  <c r="E608" i="1"/>
  <c r="E590" i="1"/>
  <c r="E585" i="1"/>
  <c r="E577" i="1"/>
  <c r="E506" i="1"/>
  <c r="E504" i="1"/>
  <c r="E438" i="1"/>
  <c r="E425" i="1"/>
  <c r="E423" i="1"/>
  <c r="E421" i="1"/>
  <c r="E419" i="1"/>
  <c r="E417" i="1"/>
  <c r="E415" i="1"/>
  <c r="E413" i="1"/>
  <c r="E411" i="1"/>
  <c r="E409" i="1"/>
  <c r="E407" i="1"/>
  <c r="E405" i="1"/>
  <c r="E403" i="1"/>
  <c r="E401" i="1"/>
  <c r="E399" i="1"/>
  <c r="E397" i="1"/>
  <c r="E395" i="1"/>
  <c r="E393" i="1"/>
  <c r="E253" i="1"/>
  <c r="E61" i="1"/>
  <c r="E51" i="1"/>
</calcChain>
</file>

<file path=xl/sharedStrings.xml><?xml version="1.0" encoding="utf-8"?>
<sst xmlns="http://schemas.openxmlformats.org/spreadsheetml/2006/main" count="5903" uniqueCount="44">
  <si>
    <t>Month</t>
  </si>
  <si>
    <t>Year</t>
  </si>
  <si>
    <t>FL Year</t>
  </si>
  <si>
    <t>Order Number</t>
  </si>
  <si>
    <t>Amount</t>
  </si>
  <si>
    <t>Name</t>
  </si>
  <si>
    <t>FL Description</t>
  </si>
  <si>
    <t>AHSC - Hire Of Rooms - External Courses Rent And Rates Premises And Related Expenses People Development (OD, Adults, CYP) Human Resources</t>
  </si>
  <si>
    <t>OP Day Services Private Contractors Agency And Contracted Services OP/PD Home Care, Outreach Day Services Adult Health &amp; Social Care</t>
  </si>
  <si>
    <t>Consultant Fees A58/A672 J22 through to King Cross, Hx (CIP)  West Yorkshire Combined Authority Programmes Highways &amp; Engineering Services - Cap</t>
  </si>
  <si>
    <t>VOA Description</t>
  </si>
  <si>
    <t>Directorate</t>
  </si>
  <si>
    <t>Service</t>
  </si>
  <si>
    <t>Community Safety &amp; Support</t>
  </si>
  <si>
    <t>Communities &amp; Service Support (obsolete)</t>
  </si>
  <si>
    <t>Libraries Info &amp; Tourism</t>
  </si>
  <si>
    <t>Museums &amp; Arts</t>
  </si>
  <si>
    <t>Economy and Investment</t>
  </si>
  <si>
    <t>Economy and Environment (obsolete)</t>
  </si>
  <si>
    <t>Executives Management</t>
  </si>
  <si>
    <t>Deputy Chief Executive (obsolete)</t>
  </si>
  <si>
    <t>Integrated commissioning - children's</t>
  </si>
  <si>
    <t>Adult Services and Wellbeing</t>
  </si>
  <si>
    <t>Public Health</t>
  </si>
  <si>
    <t>Chief Executive's Office (obsolete)</t>
  </si>
  <si>
    <t>Adult Health &amp; Social Care</t>
  </si>
  <si>
    <t>Housing Services</t>
  </si>
  <si>
    <t>Corporate Asset and Facilities Management</t>
  </si>
  <si>
    <t>Highways and Engineering Services</t>
  </si>
  <si>
    <t>Children and Young People's Serv - Central Depts.</t>
  </si>
  <si>
    <t>Children and Young People's Services</t>
  </si>
  <si>
    <t>Schools and Children's Services - Non-School</t>
  </si>
  <si>
    <t>Childrens Services Unit</t>
  </si>
  <si>
    <t>Childrens Care Services</t>
  </si>
  <si>
    <t>Human Resources</t>
  </si>
  <si>
    <t>Safer Cleaner Greener</t>
  </si>
  <si>
    <t>Highways &amp; Engineering Services - Capital</t>
  </si>
  <si>
    <t>Service Development - Client Services</t>
  </si>
  <si>
    <t>Customer Services and Communications</t>
  </si>
  <si>
    <t>Environmental Services</t>
  </si>
  <si>
    <t>Law &amp; Administration Service</t>
  </si>
  <si>
    <t>Recreation &amp; Support</t>
  </si>
  <si>
    <t>Regeneration - Capital</t>
  </si>
  <si>
    <t>Sport &amp; Leisure Management DSO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</si>
</sst>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4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4.5" x14ac:dyDescent="0.35"/>
  <cols>
    <col min="1" max="1" width="6.54296875" bestFit="1" customWidth="1"/>
    <col min="2" max="2" width="4.6328125" bestFit="1" customWidth="1"/>
    <col min="3" max="3" width="7.6328125" bestFit="1" customWidth="1"/>
    <col min="4" max="4" width="13.36328125" bestFit="1" customWidth="1"/>
    <col min="5" max="5" width="7.08984375" bestFit="1" customWidth="1"/>
    <col min="6" max="6" width="43.6328125" bestFit="1" customWidth="1"/>
    <col min="7" max="7" width="37.90625" bestFit="1" customWidth="1"/>
    <col min="8" max="8" width="9.81640625" bestFit="1" customWidth="1"/>
    <col min="9" max="9" width="47" bestFit="1" customWidth="1"/>
    <col min="10" max="10" width="138" bestFit="1" customWidth="1"/>
  </cols>
  <sheetData>
    <row r="1" spans="1:10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12</v>
      </c>
      <c r="F1" s="1" t="s">
        <v>10</v>
      </c>
      <c r="G1" s="1" t="s">
        <v>11</v>
      </c>
      <c r="H1" s="1" t="s">
        <v>4</v>
      </c>
      <c r="I1" s="1" t="s">
        <v>5</v>
      </c>
      <c r="J1" s="1" t="s">
        <v>6</v>
      </c>
    </row>
    <row r="2" spans="1:10" x14ac:dyDescent="0.35">
      <c r="A2" t="str">
        <f t="shared" ref="A2:A65" si="0">"APR"</f>
        <v>APR</v>
      </c>
      <c r="B2" t="str">
        <f t="shared" ref="B2:B65" si="1">"20"</f>
        <v>20</v>
      </c>
      <c r="C2" t="str">
        <f t="shared" ref="C2:C65" si="2">"2020/21"</f>
        <v>2020/21</v>
      </c>
      <c r="D2" t="str">
        <f>"LS NE 205149"</f>
        <v>LS NE 205149</v>
      </c>
      <c r="E2" t="str">
        <f t="shared" ref="E2:E65" si="3">LEFT(D2,2)</f>
        <v>LS</v>
      </c>
      <c r="F2" t="s">
        <v>13</v>
      </c>
      <c r="G2" t="s">
        <v>14</v>
      </c>
      <c r="H2">
        <v>500</v>
      </c>
      <c r="I2" t="str">
        <f>"Copley Village Residents Action Group"</f>
        <v>Copley Village Residents Action Group</v>
      </c>
      <c r="J2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3" spans="1:10" x14ac:dyDescent="0.35">
      <c r="A3" t="str">
        <f t="shared" si="0"/>
        <v>APR</v>
      </c>
      <c r="B3" t="str">
        <f t="shared" si="1"/>
        <v>20</v>
      </c>
      <c r="C3" t="str">
        <f t="shared" si="2"/>
        <v>2020/21</v>
      </c>
      <c r="D3" t="str">
        <f>"LS NE 205052"</f>
        <v>LS NE 205052</v>
      </c>
      <c r="E3" t="str">
        <f t="shared" si="3"/>
        <v>LS</v>
      </c>
      <c r="F3" t="s">
        <v>13</v>
      </c>
      <c r="G3" t="s">
        <v>14</v>
      </c>
      <c r="H3">
        <v>500</v>
      </c>
      <c r="I3" t="str">
        <f>"Hebden Bridge &amp; District Old People's Welfare Comm"</f>
        <v>Hebden Bridge &amp; District Old People's Welfare Comm</v>
      </c>
      <c r="J3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4" spans="1:10" x14ac:dyDescent="0.35">
      <c r="A4" t="str">
        <f t="shared" si="0"/>
        <v>APR</v>
      </c>
      <c r="B4" t="str">
        <f t="shared" si="1"/>
        <v>20</v>
      </c>
      <c r="C4" t="str">
        <f t="shared" si="2"/>
        <v>2020/21</v>
      </c>
      <c r="D4" t="str">
        <f>"LS CO 205113"</f>
        <v>LS CO 205113</v>
      </c>
      <c r="E4" t="str">
        <f t="shared" si="3"/>
        <v>LS</v>
      </c>
      <c r="F4" t="s">
        <v>13</v>
      </c>
      <c r="G4" t="s">
        <v>14</v>
      </c>
      <c r="H4">
        <v>395</v>
      </c>
      <c r="I4" t="str">
        <f>"Safe Places Organisation CIC"</f>
        <v>Safe Places Organisation CIC</v>
      </c>
      <c r="J4" t="str">
        <f>"Subscriptions - Membership Outside Bodies Grants And Subscriptions Supplies And Services Community Cohesion &amp; Equalities Community Safety &amp; Supp"</f>
        <v>Subscriptions - Membership Outside Bodies Grants And Subscriptions Supplies And Services Community Cohesion &amp; Equalities Community Safety &amp; Supp</v>
      </c>
    </row>
    <row r="5" spans="1:10" x14ac:dyDescent="0.35">
      <c r="A5" t="str">
        <f t="shared" si="0"/>
        <v>APR</v>
      </c>
      <c r="B5" t="str">
        <f t="shared" si="1"/>
        <v>20</v>
      </c>
      <c r="C5" t="str">
        <f t="shared" si="2"/>
        <v>2020/21</v>
      </c>
      <c r="D5" t="str">
        <f>"LS CL 204693"</f>
        <v>LS CL 204693</v>
      </c>
      <c r="E5" t="str">
        <f t="shared" si="3"/>
        <v>LS</v>
      </c>
      <c r="F5" t="s">
        <v>15</v>
      </c>
      <c r="G5" t="s">
        <v>14</v>
      </c>
      <c r="H5">
        <v>44</v>
      </c>
      <c r="I5" t="str">
        <f>"Hebden Bridge Community Association"</f>
        <v>Hebden Bridge Community Association</v>
      </c>
      <c r="J5" t="str">
        <f>"Text Books &amp; Library Books Equipment Furniture And Materials Supplies And Services Schools Library Service Libraries Info &amp; Tourism"</f>
        <v>Text Books &amp; Library Books Equipment Furniture And Materials Supplies And Services Schools Library Service Libraries Info &amp; Tourism</v>
      </c>
    </row>
    <row r="6" spans="1:10" x14ac:dyDescent="0.35">
      <c r="A6" t="str">
        <f t="shared" si="0"/>
        <v>APR</v>
      </c>
      <c r="B6" t="str">
        <f t="shared" si="1"/>
        <v>20</v>
      </c>
      <c r="C6" t="str">
        <f t="shared" si="2"/>
        <v>2020/21</v>
      </c>
      <c r="D6" t="str">
        <f>"LS MU 205126"</f>
        <v>LS MU 205126</v>
      </c>
      <c r="E6" t="str">
        <f t="shared" si="3"/>
        <v>LS</v>
      </c>
      <c r="F6" t="s">
        <v>16</v>
      </c>
      <c r="G6" t="s">
        <v>14</v>
      </c>
      <c r="H6">
        <v>12000</v>
      </c>
      <c r="I6" t="str">
        <f>"The Piece Hall Trust"</f>
        <v>The Piece Hall Trust</v>
      </c>
      <c r="J6" t="str">
        <f>"Business Rates Pool Project Expenditure Equipment Furniture And Materials Supplies And Services Business Rates Pool Museums &amp; Arts"</f>
        <v>Business Rates Pool Project Expenditure Equipment Furniture And Materials Supplies And Services Business Rates Pool Museums &amp; Arts</v>
      </c>
    </row>
    <row r="7" spans="1:10" x14ac:dyDescent="0.35">
      <c r="A7" t="str">
        <f t="shared" si="0"/>
        <v>APR</v>
      </c>
      <c r="B7" t="str">
        <f t="shared" si="1"/>
        <v>20</v>
      </c>
      <c r="C7" t="str">
        <f t="shared" si="2"/>
        <v>2020/21</v>
      </c>
      <c r="D7" t="str">
        <f>"LS MU 205127"</f>
        <v>LS MU 205127</v>
      </c>
      <c r="E7" t="str">
        <f t="shared" si="3"/>
        <v>LS</v>
      </c>
      <c r="F7" t="s">
        <v>16</v>
      </c>
      <c r="G7" t="s">
        <v>14</v>
      </c>
      <c r="H7">
        <v>59250</v>
      </c>
      <c r="I7" t="str">
        <f>"The Piece Hall Trust"</f>
        <v>The Piece Hall Trust</v>
      </c>
      <c r="J7" t="str">
        <f>"Miscellaneous General Miscellaneous Expenses Supplies And Services Piece Hall Museums &amp; Arts"</f>
        <v>Miscellaneous General Miscellaneous Expenses Supplies And Services Piece Hall Museums &amp; Arts</v>
      </c>
    </row>
    <row r="8" spans="1:10" x14ac:dyDescent="0.35">
      <c r="A8" t="str">
        <f t="shared" si="0"/>
        <v>APR</v>
      </c>
      <c r="B8" t="str">
        <f t="shared" si="1"/>
        <v>20</v>
      </c>
      <c r="C8" t="str">
        <f t="shared" si="2"/>
        <v>2020/21</v>
      </c>
      <c r="D8" t="str">
        <f>"LS MU 205127"</f>
        <v>LS MU 205127</v>
      </c>
      <c r="E8" t="str">
        <f t="shared" si="3"/>
        <v>LS</v>
      </c>
      <c r="F8" t="s">
        <v>16</v>
      </c>
      <c r="G8" t="s">
        <v>14</v>
      </c>
      <c r="H8">
        <v>87500</v>
      </c>
      <c r="I8" t="str">
        <f>"The Piece Hall Trust"</f>
        <v>The Piece Hall Trust</v>
      </c>
      <c r="J8" t="str">
        <f>"Miscellaneous General Miscellaneous Expenses Supplies And Services Piece Hall Museums &amp; Arts"</f>
        <v>Miscellaneous General Miscellaneous Expenses Supplies And Services Piece Hall Museums &amp; Arts</v>
      </c>
    </row>
    <row r="9" spans="1:10" x14ac:dyDescent="0.35">
      <c r="A9" t="str">
        <f t="shared" si="0"/>
        <v>APR</v>
      </c>
      <c r="B9" t="str">
        <f t="shared" si="1"/>
        <v>20</v>
      </c>
      <c r="C9" t="str">
        <f t="shared" si="2"/>
        <v>2020/21</v>
      </c>
      <c r="D9" t="str">
        <f>"LS VT 204303"</f>
        <v>LS VT 204303</v>
      </c>
      <c r="E9" t="str">
        <f t="shared" si="3"/>
        <v>LS</v>
      </c>
      <c r="F9" t="s">
        <v>16</v>
      </c>
      <c r="G9" t="s">
        <v>14</v>
      </c>
      <c r="H9">
        <v>1833.34</v>
      </c>
      <c r="I9" t="str">
        <f>"Northlight Studios"</f>
        <v>Northlight Studios</v>
      </c>
      <c r="J9" t="str">
        <f>"Marketing Expenses Miscellaneous Expenses Supplies And Services Victoria Theatre Overhead Account Museums &amp; Arts"</f>
        <v>Marketing Expenses Miscellaneous Expenses Supplies And Services Victoria Theatre Overhead Account Museums &amp; Arts</v>
      </c>
    </row>
    <row r="10" spans="1:10" x14ac:dyDescent="0.35">
      <c r="A10" t="str">
        <f t="shared" si="0"/>
        <v>APR</v>
      </c>
      <c r="B10" t="str">
        <f t="shared" si="1"/>
        <v>20</v>
      </c>
      <c r="C10" t="str">
        <f t="shared" si="2"/>
        <v>2020/21</v>
      </c>
      <c r="D10" t="str">
        <f>"LS GV 205019"</f>
        <v>LS GV 205019</v>
      </c>
      <c r="E10" t="str">
        <f t="shared" si="3"/>
        <v>LS</v>
      </c>
      <c r="F10" t="s">
        <v>17</v>
      </c>
      <c r="G10" t="s">
        <v>18</v>
      </c>
      <c r="H10">
        <v>73750</v>
      </c>
      <c r="I10" t="str">
        <f>"Calderdale Citizens Advice Bureau"</f>
        <v>Calderdale Citizens Advice Bureau</v>
      </c>
      <c r="J10" t="str">
        <f>"A&amp;I Contract - Calderdale Citizens Advice Bureau Grants And Subscriptions Supplies And Services Policy and Voluntary Sector Economy and Investme"</f>
        <v>A&amp;I Contract - Calderdale Citizens Advice Bureau Grants And Subscriptions Supplies And Services Policy and Voluntary Sector Economy and Investme</v>
      </c>
    </row>
    <row r="11" spans="1:10" x14ac:dyDescent="0.35">
      <c r="A11" t="str">
        <f t="shared" si="0"/>
        <v>APR</v>
      </c>
      <c r="B11" t="str">
        <f t="shared" si="1"/>
        <v>20</v>
      </c>
      <c r="C11" t="str">
        <f t="shared" si="2"/>
        <v>2020/21</v>
      </c>
      <c r="D11" t="str">
        <f>"LS GV 205037"</f>
        <v>LS GV 205037</v>
      </c>
      <c r="E11" t="str">
        <f t="shared" si="3"/>
        <v>LS</v>
      </c>
      <c r="F11" t="s">
        <v>17</v>
      </c>
      <c r="G11" t="s">
        <v>18</v>
      </c>
      <c r="H11">
        <v>3515</v>
      </c>
      <c r="I11" t="str">
        <f>"Calderdale Citizens Advice Bureau"</f>
        <v>Calderdale Citizens Advice Bureau</v>
      </c>
      <c r="J11" t="str">
        <f>"A&amp;I Grant - Calderdale Citizens Advice Bureau Grants And Subscriptions Supplies And Services Policy and Voluntary Sector Economy and Investment"</f>
        <v>A&amp;I Grant - Calderdale Citizens Advice Bureau Grants And Subscriptions Supplies And Services Policy and Voluntary Sector Economy and Investment</v>
      </c>
    </row>
    <row r="12" spans="1:10" x14ac:dyDescent="0.35">
      <c r="A12" t="str">
        <f t="shared" si="0"/>
        <v>APR</v>
      </c>
      <c r="B12" t="str">
        <f t="shared" si="1"/>
        <v>20</v>
      </c>
      <c r="C12" t="str">
        <f t="shared" si="2"/>
        <v>2020/21</v>
      </c>
      <c r="D12" t="str">
        <f>"LS GV 205016"</f>
        <v>LS GV 205016</v>
      </c>
      <c r="E12" t="str">
        <f t="shared" si="3"/>
        <v>LS</v>
      </c>
      <c r="F12" t="s">
        <v>17</v>
      </c>
      <c r="G12" t="s">
        <v>18</v>
      </c>
      <c r="H12">
        <v>21250</v>
      </c>
      <c r="I12" t="str">
        <f>"Voluntary Action Calderdale"</f>
        <v>Voluntary Action Calderdale</v>
      </c>
      <c r="J12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3" spans="1:10" x14ac:dyDescent="0.35">
      <c r="A13" t="str">
        <f t="shared" si="0"/>
        <v>APR</v>
      </c>
      <c r="B13" t="str">
        <f t="shared" si="1"/>
        <v>20</v>
      </c>
      <c r="C13" t="str">
        <f t="shared" si="2"/>
        <v>2020/21</v>
      </c>
      <c r="D13" t="str">
        <f>"LS GV 205008"</f>
        <v>LS GV 205008</v>
      </c>
      <c r="E13" t="str">
        <f t="shared" si="3"/>
        <v>LS</v>
      </c>
      <c r="F13" t="s">
        <v>17</v>
      </c>
      <c r="G13" t="s">
        <v>18</v>
      </c>
      <c r="H13">
        <v>3750</v>
      </c>
      <c r="I13" t="str">
        <f>"Locality"</f>
        <v>Locality</v>
      </c>
      <c r="J13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4" spans="1:10" x14ac:dyDescent="0.35">
      <c r="A14" t="str">
        <f t="shared" si="0"/>
        <v>APR</v>
      </c>
      <c r="B14" t="str">
        <f t="shared" si="1"/>
        <v>20</v>
      </c>
      <c r="C14" t="str">
        <f t="shared" si="2"/>
        <v>2020/21</v>
      </c>
      <c r="D14" t="str">
        <f>"LS GV 205009"</f>
        <v>LS GV 205009</v>
      </c>
      <c r="E14" t="str">
        <f t="shared" si="3"/>
        <v>LS</v>
      </c>
      <c r="F14" t="s">
        <v>17</v>
      </c>
      <c r="G14" t="s">
        <v>18</v>
      </c>
      <c r="H14">
        <v>31250</v>
      </c>
      <c r="I14" t="str">
        <f>"North Bank Forum for Voluntary Organisations Ltd"</f>
        <v>North Bank Forum for Voluntary Organisations Ltd</v>
      </c>
      <c r="J14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5" spans="1:10" x14ac:dyDescent="0.35">
      <c r="A15" t="str">
        <f t="shared" si="0"/>
        <v>APR</v>
      </c>
      <c r="B15" t="str">
        <f t="shared" si="1"/>
        <v>20</v>
      </c>
      <c r="C15" t="str">
        <f t="shared" si="2"/>
        <v>2020/21</v>
      </c>
      <c r="D15" t="str">
        <f>"LS GV 205178"</f>
        <v>LS GV 205178</v>
      </c>
      <c r="E15" t="str">
        <f t="shared" si="3"/>
        <v>LS</v>
      </c>
      <c r="F15" t="s">
        <v>17</v>
      </c>
      <c r="G15" t="s">
        <v>18</v>
      </c>
      <c r="H15">
        <v>9165.5</v>
      </c>
      <c r="I15" t="str">
        <f>"Healthy Minds Calderdale Wellbeing"</f>
        <v>Healthy Minds Calderdale Wellbeing</v>
      </c>
      <c r="J15" t="str">
        <f>"A&amp;I Grant - Healthy Minds Grants And Subscriptions Supplies And Services Policy and Voluntary Sector Economy and Investment"</f>
        <v>A&amp;I Grant - Healthy Minds Grants And Subscriptions Supplies And Services Policy and Voluntary Sector Economy and Investment</v>
      </c>
    </row>
    <row r="16" spans="1:10" x14ac:dyDescent="0.35">
      <c r="A16" t="str">
        <f t="shared" si="0"/>
        <v>APR</v>
      </c>
      <c r="B16" t="str">
        <f t="shared" si="1"/>
        <v>20</v>
      </c>
      <c r="C16" t="str">
        <f t="shared" si="2"/>
        <v>2020/21</v>
      </c>
      <c r="D16" t="str">
        <f>"LS GV 205177"</f>
        <v>LS GV 205177</v>
      </c>
      <c r="E16" t="str">
        <f t="shared" si="3"/>
        <v>LS</v>
      </c>
      <c r="F16" t="s">
        <v>17</v>
      </c>
      <c r="G16" t="s">
        <v>18</v>
      </c>
      <c r="H16">
        <v>4692.5</v>
      </c>
      <c r="I16" t="str">
        <f>"Christians Together Calderdale"</f>
        <v>Christians Together Calderdale</v>
      </c>
      <c r="J16" t="str">
        <f>"LF - Christians Together Calderdale Grants And Subscriptions Supplies And Services Policy and Voluntary Sector Economy and Investment"</f>
        <v>LF - Christians Together Calderdale Grants And Subscriptions Supplies And Services Policy and Voluntary Sector Economy and Investment</v>
      </c>
    </row>
    <row r="17" spans="1:10" x14ac:dyDescent="0.35">
      <c r="A17" t="str">
        <f t="shared" si="0"/>
        <v>APR</v>
      </c>
      <c r="B17" t="str">
        <f t="shared" si="1"/>
        <v>20</v>
      </c>
      <c r="C17" t="str">
        <f t="shared" si="2"/>
        <v>2020/21</v>
      </c>
      <c r="D17" t="str">
        <f>"LS GV 205044"</f>
        <v>LS GV 205044</v>
      </c>
      <c r="E17" t="str">
        <f t="shared" si="3"/>
        <v>LS</v>
      </c>
      <c r="F17" t="s">
        <v>17</v>
      </c>
      <c r="G17" t="s">
        <v>18</v>
      </c>
      <c r="H17">
        <v>1688</v>
      </c>
      <c r="I17" t="str">
        <f>"Curious Motion CIC"</f>
        <v>Curious Motion CIC</v>
      </c>
      <c r="J17" t="str">
        <f>"Small Grants Grants And Subscriptions Supplies And Services Policy and Voluntary Sector Economy and Investment"</f>
        <v>Small Grants Grants And Subscriptions Supplies And Services Policy and Voluntary Sector Economy and Investment</v>
      </c>
    </row>
    <row r="18" spans="1:10" x14ac:dyDescent="0.35">
      <c r="A18" t="str">
        <f t="shared" si="0"/>
        <v>APR</v>
      </c>
      <c r="B18" t="str">
        <f t="shared" si="1"/>
        <v>20</v>
      </c>
      <c r="C18" t="str">
        <f t="shared" si="2"/>
        <v>2020/21</v>
      </c>
      <c r="D18" t="str">
        <f>"LS GV 205134"</f>
        <v>LS GV 205134</v>
      </c>
      <c r="E18" t="str">
        <f t="shared" si="3"/>
        <v>LS</v>
      </c>
      <c r="F18" t="s">
        <v>17</v>
      </c>
      <c r="G18" t="s">
        <v>18</v>
      </c>
      <c r="H18">
        <v>30000</v>
      </c>
      <c r="I18" t="str">
        <f>"Community Foundation for Calderdale"</f>
        <v>Community Foundation for Calderdale</v>
      </c>
      <c r="J18" t="str">
        <f>"Small Grants Grants And Subscriptions Supplies And Services Policy and Voluntary Sector Economy and Investment"</f>
        <v>Small Grants Grants And Subscriptions Supplies And Services Policy and Voluntary Sector Economy and Investment</v>
      </c>
    </row>
    <row r="19" spans="1:10" x14ac:dyDescent="0.35">
      <c r="A19" t="str">
        <f t="shared" si="0"/>
        <v>APR</v>
      </c>
      <c r="B19" t="str">
        <f t="shared" si="1"/>
        <v>20</v>
      </c>
      <c r="C19" t="str">
        <f t="shared" si="2"/>
        <v>2020/21</v>
      </c>
      <c r="D19" t="str">
        <f>"LS GV 205176"</f>
        <v>LS GV 205176</v>
      </c>
      <c r="E19" t="str">
        <f t="shared" si="3"/>
        <v>LS</v>
      </c>
      <c r="F19" t="s">
        <v>17</v>
      </c>
      <c r="G19" t="s">
        <v>18</v>
      </c>
      <c r="H19">
        <v>5408.75</v>
      </c>
      <c r="I19" t="str">
        <f>"Healthy Minds Calderdale Wellbeing"</f>
        <v>Healthy Minds Calderdale Wellbeing</v>
      </c>
      <c r="J19" t="str">
        <f>"LF - Healthy Minds Grants And Subscriptions Supplies And Services Policy and Voluntary Sector Economy and Investment"</f>
        <v>LF - Healthy Minds Grants And Subscriptions Supplies And Services Policy and Voluntary Sector Economy and Investment</v>
      </c>
    </row>
    <row r="20" spans="1:10" x14ac:dyDescent="0.35">
      <c r="A20" t="str">
        <f t="shared" si="0"/>
        <v>APR</v>
      </c>
      <c r="B20" t="str">
        <f t="shared" si="1"/>
        <v>20</v>
      </c>
      <c r="C20" t="str">
        <f t="shared" si="2"/>
        <v>2020/21</v>
      </c>
      <c r="D20" t="str">
        <f>"LS GV 205175"</f>
        <v>LS GV 205175</v>
      </c>
      <c r="E20" t="str">
        <f t="shared" si="3"/>
        <v>LS</v>
      </c>
      <c r="F20" t="s">
        <v>17</v>
      </c>
      <c r="G20" t="s">
        <v>18</v>
      </c>
      <c r="H20">
        <v>4500</v>
      </c>
      <c r="I20" t="str">
        <f>"Calderdale Smartmove"</f>
        <v>Calderdale Smartmove</v>
      </c>
      <c r="J20" t="str">
        <f>"LF - Calderdale Smartmove Grants And Subscriptions Supplies And Services Policy and Voluntary Sector Economy and Investment"</f>
        <v>LF - Calderdale Smartmove Grants And Subscriptions Supplies And Services Policy and Voluntary Sector Economy and Investment</v>
      </c>
    </row>
    <row r="21" spans="1:10" x14ac:dyDescent="0.35">
      <c r="A21" t="str">
        <f t="shared" si="0"/>
        <v>APR</v>
      </c>
      <c r="B21" t="str">
        <f t="shared" si="1"/>
        <v>20</v>
      </c>
      <c r="C21" t="str">
        <f t="shared" si="2"/>
        <v>2020/21</v>
      </c>
      <c r="E21" t="str">
        <f t="shared" si="3"/>
        <v/>
      </c>
      <c r="F21" t="s">
        <v>17</v>
      </c>
      <c r="G21" t="s">
        <v>18</v>
      </c>
      <c r="H21">
        <v>-47.5</v>
      </c>
      <c r="I21" t="str">
        <f t="shared" ref="I21:I30" si="4">"Newground CIC"</f>
        <v>Newground CIC</v>
      </c>
      <c r="J21" t="str">
        <f t="shared" ref="J21:J30" si="5">"Misc Expenses Miscellaneous Expenses Supplies And Services Works Better (ESF) Economy and Investment"</f>
        <v>Misc Expenses Miscellaneous Expenses Supplies And Services Works Better (ESF) Economy and Investment</v>
      </c>
    </row>
    <row r="22" spans="1:10" x14ac:dyDescent="0.35">
      <c r="A22" t="str">
        <f t="shared" si="0"/>
        <v>APR</v>
      </c>
      <c r="B22" t="str">
        <f t="shared" si="1"/>
        <v>20</v>
      </c>
      <c r="C22" t="str">
        <f t="shared" si="2"/>
        <v>2020/21</v>
      </c>
      <c r="E22" t="str">
        <f t="shared" si="3"/>
        <v/>
      </c>
      <c r="F22" t="s">
        <v>17</v>
      </c>
      <c r="G22" t="s">
        <v>18</v>
      </c>
      <c r="H22">
        <v>-49</v>
      </c>
      <c r="I22" t="str">
        <f t="shared" si="4"/>
        <v>Newground CIC</v>
      </c>
      <c r="J22" t="str">
        <f t="shared" si="5"/>
        <v>Misc Expenses Miscellaneous Expenses Supplies And Services Works Better (ESF) Economy and Investment</v>
      </c>
    </row>
    <row r="23" spans="1:10" x14ac:dyDescent="0.35">
      <c r="A23" t="str">
        <f t="shared" si="0"/>
        <v>APR</v>
      </c>
      <c r="B23" t="str">
        <f t="shared" si="1"/>
        <v>20</v>
      </c>
      <c r="C23" t="str">
        <f t="shared" si="2"/>
        <v>2020/21</v>
      </c>
      <c r="E23" t="str">
        <f t="shared" si="3"/>
        <v/>
      </c>
      <c r="F23" t="s">
        <v>17</v>
      </c>
      <c r="G23" t="s">
        <v>18</v>
      </c>
      <c r="H23">
        <v>-32.75</v>
      </c>
      <c r="I23" t="str">
        <f t="shared" si="4"/>
        <v>Newground CIC</v>
      </c>
      <c r="J23" t="str">
        <f t="shared" si="5"/>
        <v>Misc Expenses Miscellaneous Expenses Supplies And Services Works Better (ESF) Economy and Investment</v>
      </c>
    </row>
    <row r="24" spans="1:10" x14ac:dyDescent="0.35">
      <c r="A24" t="str">
        <f t="shared" si="0"/>
        <v>APR</v>
      </c>
      <c r="B24" t="str">
        <f t="shared" si="1"/>
        <v>20</v>
      </c>
      <c r="C24" t="str">
        <f t="shared" si="2"/>
        <v>2020/21</v>
      </c>
      <c r="E24" t="str">
        <f t="shared" si="3"/>
        <v/>
      </c>
      <c r="F24" t="s">
        <v>17</v>
      </c>
      <c r="G24" t="s">
        <v>18</v>
      </c>
      <c r="H24">
        <v>-34</v>
      </c>
      <c r="I24" t="str">
        <f t="shared" si="4"/>
        <v>Newground CIC</v>
      </c>
      <c r="J24" t="str">
        <f t="shared" si="5"/>
        <v>Misc Expenses Miscellaneous Expenses Supplies And Services Works Better (ESF) Economy and Investment</v>
      </c>
    </row>
    <row r="25" spans="1:10" x14ac:dyDescent="0.35">
      <c r="A25" t="str">
        <f t="shared" si="0"/>
        <v>APR</v>
      </c>
      <c r="B25" t="str">
        <f t="shared" si="1"/>
        <v>20</v>
      </c>
      <c r="C25" t="str">
        <f t="shared" si="2"/>
        <v>2020/21</v>
      </c>
      <c r="E25" t="str">
        <f t="shared" si="3"/>
        <v/>
      </c>
      <c r="F25" t="s">
        <v>17</v>
      </c>
      <c r="G25" t="s">
        <v>18</v>
      </c>
      <c r="H25">
        <v>-112.8</v>
      </c>
      <c r="I25" t="str">
        <f t="shared" si="4"/>
        <v>Newground CIC</v>
      </c>
      <c r="J25" t="str">
        <f t="shared" si="5"/>
        <v>Misc Expenses Miscellaneous Expenses Supplies And Services Works Better (ESF) Economy and Investment</v>
      </c>
    </row>
    <row r="26" spans="1:10" x14ac:dyDescent="0.35">
      <c r="A26" t="str">
        <f t="shared" si="0"/>
        <v>APR</v>
      </c>
      <c r="B26" t="str">
        <f t="shared" si="1"/>
        <v>20</v>
      </c>
      <c r="C26" t="str">
        <f t="shared" si="2"/>
        <v>2020/21</v>
      </c>
      <c r="D26" t="str">
        <f>"PL RS 020870"</f>
        <v>PL RS 020870</v>
      </c>
      <c r="E26" t="str">
        <f t="shared" si="3"/>
        <v>PL</v>
      </c>
      <c r="F26" t="s">
        <v>17</v>
      </c>
      <c r="G26" t="s">
        <v>18</v>
      </c>
      <c r="H26">
        <v>47.5</v>
      </c>
      <c r="I26" t="str">
        <f t="shared" si="4"/>
        <v>Newground CIC</v>
      </c>
      <c r="J26" t="str">
        <f t="shared" si="5"/>
        <v>Misc Expenses Miscellaneous Expenses Supplies And Services Works Better (ESF) Economy and Investment</v>
      </c>
    </row>
    <row r="27" spans="1:10" x14ac:dyDescent="0.35">
      <c r="A27" t="str">
        <f t="shared" si="0"/>
        <v>APR</v>
      </c>
      <c r="B27" t="str">
        <f t="shared" si="1"/>
        <v>20</v>
      </c>
      <c r="C27" t="str">
        <f t="shared" si="2"/>
        <v>2020/21</v>
      </c>
      <c r="D27" t="str">
        <f>"PL RS 020946"</f>
        <v>PL RS 020946</v>
      </c>
      <c r="E27" t="str">
        <f t="shared" si="3"/>
        <v>PL</v>
      </c>
      <c r="F27" t="s">
        <v>17</v>
      </c>
      <c r="G27" t="s">
        <v>18</v>
      </c>
      <c r="H27">
        <v>32.75</v>
      </c>
      <c r="I27" t="str">
        <f t="shared" si="4"/>
        <v>Newground CIC</v>
      </c>
      <c r="J27" t="str">
        <f t="shared" si="5"/>
        <v>Misc Expenses Miscellaneous Expenses Supplies And Services Works Better (ESF) Economy and Investment</v>
      </c>
    </row>
    <row r="28" spans="1:10" x14ac:dyDescent="0.35">
      <c r="A28" t="str">
        <f t="shared" si="0"/>
        <v>APR</v>
      </c>
      <c r="B28" t="str">
        <f t="shared" si="1"/>
        <v>20</v>
      </c>
      <c r="C28" t="str">
        <f t="shared" si="2"/>
        <v>2020/21</v>
      </c>
      <c r="D28" t="str">
        <f>"PL RS 020950"</f>
        <v>PL RS 020950</v>
      </c>
      <c r="E28" t="str">
        <f t="shared" si="3"/>
        <v>PL</v>
      </c>
      <c r="F28" t="s">
        <v>17</v>
      </c>
      <c r="G28" t="s">
        <v>18</v>
      </c>
      <c r="H28">
        <v>112.8</v>
      </c>
      <c r="I28" t="str">
        <f t="shared" si="4"/>
        <v>Newground CIC</v>
      </c>
      <c r="J28" t="str">
        <f t="shared" si="5"/>
        <v>Misc Expenses Miscellaneous Expenses Supplies And Services Works Better (ESF) Economy and Investment</v>
      </c>
    </row>
    <row r="29" spans="1:10" x14ac:dyDescent="0.35">
      <c r="A29" t="str">
        <f t="shared" si="0"/>
        <v>APR</v>
      </c>
      <c r="B29" t="str">
        <f t="shared" si="1"/>
        <v>20</v>
      </c>
      <c r="C29" t="str">
        <f t="shared" si="2"/>
        <v>2020/21</v>
      </c>
      <c r="D29" t="str">
        <f>"PL RS 020946"</f>
        <v>PL RS 020946</v>
      </c>
      <c r="E29" t="str">
        <f t="shared" si="3"/>
        <v>PL</v>
      </c>
      <c r="F29" t="s">
        <v>17</v>
      </c>
      <c r="G29" t="s">
        <v>18</v>
      </c>
      <c r="H29">
        <v>34</v>
      </c>
      <c r="I29" t="str">
        <f t="shared" si="4"/>
        <v>Newground CIC</v>
      </c>
      <c r="J29" t="str">
        <f t="shared" si="5"/>
        <v>Misc Expenses Miscellaneous Expenses Supplies And Services Works Better (ESF) Economy and Investment</v>
      </c>
    </row>
    <row r="30" spans="1:10" x14ac:dyDescent="0.35">
      <c r="A30" t="str">
        <f t="shared" si="0"/>
        <v>APR</v>
      </c>
      <c r="B30" t="str">
        <f t="shared" si="1"/>
        <v>20</v>
      </c>
      <c r="C30" t="str">
        <f t="shared" si="2"/>
        <v>2020/21</v>
      </c>
      <c r="D30" t="str">
        <f>"PL RS 020946"</f>
        <v>PL RS 020946</v>
      </c>
      <c r="E30" t="str">
        <f t="shared" si="3"/>
        <v>PL</v>
      </c>
      <c r="F30" t="s">
        <v>17</v>
      </c>
      <c r="G30" t="s">
        <v>18</v>
      </c>
      <c r="H30">
        <v>49</v>
      </c>
      <c r="I30" t="str">
        <f t="shared" si="4"/>
        <v>Newground CIC</v>
      </c>
      <c r="J30" t="str">
        <f t="shared" si="5"/>
        <v>Misc Expenses Miscellaneous Expenses Supplies And Services Works Better (ESF) Economy and Investment</v>
      </c>
    </row>
    <row r="31" spans="1:10" x14ac:dyDescent="0.35">
      <c r="A31" t="str">
        <f t="shared" si="0"/>
        <v>APR</v>
      </c>
      <c r="B31" t="str">
        <f t="shared" si="1"/>
        <v>20</v>
      </c>
      <c r="C31" t="str">
        <f t="shared" si="2"/>
        <v>2020/21</v>
      </c>
      <c r="D31" t="str">
        <f>"CE EX 014101"</f>
        <v>CE EX 014101</v>
      </c>
      <c r="E31" t="str">
        <f t="shared" si="3"/>
        <v>CE</v>
      </c>
      <c r="F31" t="s">
        <v>19</v>
      </c>
      <c r="G31" t="s">
        <v>20</v>
      </c>
      <c r="H31">
        <v>19.5</v>
      </c>
      <c r="I31" t="str">
        <f>"Hebden Bridge Community Association"</f>
        <v>Hebden Bridge Community Association</v>
      </c>
      <c r="J31" t="str">
        <f>"Hire Of Rooms Rent &amp; Rates  Premises Related Expenses Rent And Rates Premises And Related Expenses Chief Executives Office Executives Management"</f>
        <v>Hire Of Rooms Rent &amp; Rates  Premises Related Expenses Rent And Rates Premises And Related Expenses Chief Executives Office Executives Management</v>
      </c>
    </row>
    <row r="32" spans="1:10" x14ac:dyDescent="0.35">
      <c r="A32" t="str">
        <f t="shared" si="0"/>
        <v>APR</v>
      </c>
      <c r="B32" t="str">
        <f t="shared" si="1"/>
        <v>20</v>
      </c>
      <c r="C32" t="str">
        <f t="shared" si="2"/>
        <v>2020/21</v>
      </c>
      <c r="E32" t="str">
        <f t="shared" si="3"/>
        <v/>
      </c>
      <c r="F32" t="s">
        <v>21</v>
      </c>
      <c r="G32" t="s">
        <v>22</v>
      </c>
      <c r="H32">
        <v>-4144.12</v>
      </c>
      <c r="I32" t="str">
        <f>"Noahs Ark Centre"</f>
        <v>Noahs Ark Centre</v>
      </c>
      <c r="J32" t="str">
        <f>"Prevention / Early Intervention Private Contractors Agency And Contracted Services Transformation Plan - grant funding Integrated commissioning"</f>
        <v>Prevention / Early Intervention Private Contractors Agency And Contracted Services Transformation Plan - grant funding Integrated commissioning</v>
      </c>
    </row>
    <row r="33" spans="1:10" x14ac:dyDescent="0.35">
      <c r="A33" t="str">
        <f t="shared" si="0"/>
        <v>APR</v>
      </c>
      <c r="B33" t="str">
        <f t="shared" si="1"/>
        <v>20</v>
      </c>
      <c r="C33" t="str">
        <f t="shared" si="2"/>
        <v>2020/21</v>
      </c>
      <c r="D33" t="str">
        <f>"SC CK 211018"</f>
        <v>SC CK 211018</v>
      </c>
      <c r="E33" t="str">
        <f t="shared" si="3"/>
        <v>SC</v>
      </c>
      <c r="F33" t="s">
        <v>21</v>
      </c>
      <c r="G33" t="s">
        <v>22</v>
      </c>
      <c r="H33">
        <v>4144.12</v>
      </c>
      <c r="I33" t="str">
        <f>"Noahs Ark Centre"</f>
        <v>Noahs Ark Centre</v>
      </c>
      <c r="J33" t="str">
        <f>"Prevention / Early Intervention Private Contractors Agency And Contracted Services Transformation Plan - grant funding Integrated commissioning"</f>
        <v>Prevention / Early Intervention Private Contractors Agency And Contracted Services Transformation Plan - grant funding Integrated commissioning</v>
      </c>
    </row>
    <row r="34" spans="1:10" x14ac:dyDescent="0.35">
      <c r="A34" t="str">
        <f t="shared" si="0"/>
        <v>APR</v>
      </c>
      <c r="B34" t="str">
        <f t="shared" si="1"/>
        <v>20</v>
      </c>
      <c r="C34" t="str">
        <f t="shared" si="2"/>
        <v>2020/21</v>
      </c>
      <c r="D34" t="str">
        <f>"SC CK 213020"</f>
        <v>SC CK 213020</v>
      </c>
      <c r="E34" t="str">
        <f t="shared" si="3"/>
        <v>SC</v>
      </c>
      <c r="F34" t="s">
        <v>21</v>
      </c>
      <c r="G34" t="s">
        <v>22</v>
      </c>
      <c r="H34">
        <v>9567</v>
      </c>
      <c r="I34" t="str">
        <f>"Womencentre Ltd"</f>
        <v>Womencentre Ltd</v>
      </c>
      <c r="J34" t="str">
        <f>"AP post - Womans refuge Voluntary Associations Agency And Contracted Services Domestic Abuse Integrated commissioning - children's"</f>
        <v>AP post - Womans refuge Voluntary Associations Agency And Contracted Services Domestic Abuse Integrated commissioning - children's</v>
      </c>
    </row>
    <row r="35" spans="1:10" x14ac:dyDescent="0.35">
      <c r="A35" t="str">
        <f t="shared" si="0"/>
        <v>APR</v>
      </c>
      <c r="B35" t="str">
        <f t="shared" si="1"/>
        <v>20</v>
      </c>
      <c r="C35" t="str">
        <f t="shared" si="2"/>
        <v>2020/21</v>
      </c>
      <c r="D35" t="str">
        <f>"SC CK 215735"</f>
        <v>SC CK 215735</v>
      </c>
      <c r="E35" t="str">
        <f t="shared" si="3"/>
        <v>SC</v>
      </c>
      <c r="F35" t="s">
        <v>21</v>
      </c>
      <c r="G35" t="s">
        <v>22</v>
      </c>
      <c r="H35">
        <v>71047.5</v>
      </c>
      <c r="I35" t="str">
        <f>"Womencentre Ltd"</f>
        <v>Womencentre Ltd</v>
      </c>
      <c r="J35" t="str">
        <f>"Contract Voluntary Associations Agency And Contracted Services Domestic Abuse Integrated commissioning - children's"</f>
        <v>Contract Voluntary Associations Agency And Contracted Services Domestic Abuse Integrated commissioning - children's</v>
      </c>
    </row>
    <row r="36" spans="1:10" x14ac:dyDescent="0.35">
      <c r="A36" t="str">
        <f t="shared" si="0"/>
        <v>APR</v>
      </c>
      <c r="B36" t="str">
        <f t="shared" si="1"/>
        <v>20</v>
      </c>
      <c r="C36" t="str">
        <f t="shared" si="2"/>
        <v>2020/21</v>
      </c>
      <c r="D36" t="str">
        <f>"SC CK 209518"</f>
        <v>SC CK 209518</v>
      </c>
      <c r="E36" t="str">
        <f t="shared" si="3"/>
        <v>SC</v>
      </c>
      <c r="F36" t="s">
        <v>21</v>
      </c>
      <c r="G36" t="s">
        <v>22</v>
      </c>
      <c r="H36">
        <v>8700</v>
      </c>
      <c r="I36" t="str">
        <f>"Unique Ways"</f>
        <v>Unique Ways</v>
      </c>
      <c r="J36" t="str">
        <f>"Parent &amp; carers training Expenses Employees And Related Expenses SEND Reform grant Integrated commissioning - children's"</f>
        <v>Parent &amp; carers training Expenses Employees And Related Expenses SEND Reform grant Integrated commissioning - children's</v>
      </c>
    </row>
    <row r="37" spans="1:10" x14ac:dyDescent="0.35">
      <c r="A37" t="str">
        <f t="shared" si="0"/>
        <v>APR</v>
      </c>
      <c r="B37" t="str">
        <f t="shared" si="1"/>
        <v>20</v>
      </c>
      <c r="C37" t="str">
        <f t="shared" si="2"/>
        <v>2020/21</v>
      </c>
      <c r="D37" t="str">
        <f>"SC CK 209518"</f>
        <v>SC CK 209518</v>
      </c>
      <c r="E37" t="str">
        <f t="shared" si="3"/>
        <v>SC</v>
      </c>
      <c r="F37" t="s">
        <v>21</v>
      </c>
      <c r="G37" t="s">
        <v>22</v>
      </c>
      <c r="H37">
        <v>8178.78</v>
      </c>
      <c r="I37" t="str">
        <f>"Unique Ways"</f>
        <v>Unique Ways</v>
      </c>
      <c r="J37" t="str">
        <f>"Parent &amp; carers training Expenses Employees And Related Expenses SEND Reform grant Integrated commissioning - children's"</f>
        <v>Parent &amp; carers training Expenses Employees And Related Expenses SEND Reform grant Integrated commissioning - children's</v>
      </c>
    </row>
    <row r="38" spans="1:10" x14ac:dyDescent="0.35">
      <c r="A38" t="str">
        <f t="shared" si="0"/>
        <v>APR</v>
      </c>
      <c r="B38" t="str">
        <f t="shared" si="1"/>
        <v>20</v>
      </c>
      <c r="C38" t="str">
        <f t="shared" si="2"/>
        <v>2020/21</v>
      </c>
      <c r="D38" t="str">
        <f>"SC CK 209518"</f>
        <v>SC CK 209518</v>
      </c>
      <c r="E38" t="str">
        <f t="shared" si="3"/>
        <v>SC</v>
      </c>
      <c r="F38" t="s">
        <v>21</v>
      </c>
      <c r="G38" t="s">
        <v>22</v>
      </c>
      <c r="H38">
        <v>285</v>
      </c>
      <c r="I38" t="str">
        <f>"Unique Ways"</f>
        <v>Unique Ways</v>
      </c>
      <c r="J38" t="str">
        <f>"Parent &amp; carers training Expenses Employees And Related Expenses SEND Reform grant Integrated commissioning - children's"</f>
        <v>Parent &amp; carers training Expenses Employees And Related Expenses SEND Reform grant Integrated commissioning - children's</v>
      </c>
    </row>
    <row r="39" spans="1:10" x14ac:dyDescent="0.35">
      <c r="A39" t="str">
        <f t="shared" si="0"/>
        <v>APR</v>
      </c>
      <c r="B39" t="str">
        <f t="shared" si="1"/>
        <v>20</v>
      </c>
      <c r="C39" t="str">
        <f t="shared" si="2"/>
        <v>2020/21</v>
      </c>
      <c r="D39" t="str">
        <f>"SC CK 210369"</f>
        <v>SC CK 210369</v>
      </c>
      <c r="E39" t="str">
        <f t="shared" si="3"/>
        <v>SC</v>
      </c>
      <c r="F39" t="s">
        <v>21</v>
      </c>
      <c r="G39" t="s">
        <v>22</v>
      </c>
      <c r="H39">
        <v>3797.76</v>
      </c>
      <c r="I39" t="str">
        <f>"Unique Ways"</f>
        <v>Unique Ways</v>
      </c>
      <c r="J39" t="str">
        <f>"EHC Plans independent support - 2018/19 High needs funding Services Supplies And Services CYP Commissioned Services Integrated commissioning - c"</f>
        <v>EHC Plans independent support - 2018/19 High needs funding Services Supplies And Services CYP Commissioned Services Integrated commissioning - c</v>
      </c>
    </row>
    <row r="40" spans="1:10" x14ac:dyDescent="0.35">
      <c r="A40" t="str">
        <f t="shared" si="0"/>
        <v>APR</v>
      </c>
      <c r="B40" t="str">
        <f t="shared" si="1"/>
        <v>20</v>
      </c>
      <c r="C40" t="str">
        <f t="shared" si="2"/>
        <v>2020/21</v>
      </c>
      <c r="D40" t="str">
        <f>"SC CK 210369"</f>
        <v>SC CK 210369</v>
      </c>
      <c r="E40" t="str">
        <f t="shared" si="3"/>
        <v>SC</v>
      </c>
      <c r="F40" t="s">
        <v>21</v>
      </c>
      <c r="G40" t="s">
        <v>22</v>
      </c>
      <c r="H40">
        <v>6475.58</v>
      </c>
      <c r="I40" t="str">
        <f>"Unique Ways"</f>
        <v>Unique Ways</v>
      </c>
      <c r="J40" t="str">
        <f>"EHC Plans independent support - 2018/19 High needs funding Services Supplies And Services CYP Commissioned Services Integrated commissioning - c"</f>
        <v>EHC Plans independent support - 2018/19 High needs funding Services Supplies And Services CYP Commissioned Services Integrated commissioning - c</v>
      </c>
    </row>
    <row r="41" spans="1:10" x14ac:dyDescent="0.35">
      <c r="A41" t="str">
        <f t="shared" si="0"/>
        <v>APR</v>
      </c>
      <c r="B41" t="str">
        <f t="shared" si="1"/>
        <v>20</v>
      </c>
      <c r="C41" t="str">
        <f t="shared" si="2"/>
        <v>2020/21</v>
      </c>
      <c r="D41" t="str">
        <f>"SC CK 215400"</f>
        <v>SC CK 215400</v>
      </c>
      <c r="E41" t="str">
        <f t="shared" si="3"/>
        <v>SC</v>
      </c>
      <c r="F41" t="s">
        <v>21</v>
      </c>
      <c r="G41" t="s">
        <v>22</v>
      </c>
      <c r="H41">
        <v>152481.74</v>
      </c>
      <c r="I41" t="str">
        <f>"North Halifax Partnership Ltd"</f>
        <v>North Halifax Partnership Ltd</v>
      </c>
      <c r="J41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42" spans="1:10" x14ac:dyDescent="0.35">
      <c r="A42" t="str">
        <f t="shared" si="0"/>
        <v>APR</v>
      </c>
      <c r="B42" t="str">
        <f t="shared" si="1"/>
        <v>20</v>
      </c>
      <c r="C42" t="str">
        <f t="shared" si="2"/>
        <v>2020/21</v>
      </c>
      <c r="D42" t="str">
        <f>"SC CK 215400"</f>
        <v>SC CK 215400</v>
      </c>
      <c r="E42" t="str">
        <f t="shared" si="3"/>
        <v>SC</v>
      </c>
      <c r="F42" t="s">
        <v>21</v>
      </c>
      <c r="G42" t="s">
        <v>22</v>
      </c>
      <c r="H42">
        <v>152481.74</v>
      </c>
      <c r="I42" t="str">
        <f>"North Halifax Partnership Ltd"</f>
        <v>North Halifax Partnership Ltd</v>
      </c>
      <c r="J42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43" spans="1:10" x14ac:dyDescent="0.35">
      <c r="A43" t="str">
        <f t="shared" si="0"/>
        <v>APR</v>
      </c>
      <c r="B43" t="str">
        <f t="shared" si="1"/>
        <v>20</v>
      </c>
      <c r="C43" t="str">
        <f t="shared" si="2"/>
        <v>2020/21</v>
      </c>
      <c r="D43" t="str">
        <f>"SC CK 215517"</f>
        <v>SC CK 215517</v>
      </c>
      <c r="E43" t="str">
        <f t="shared" si="3"/>
        <v>SC</v>
      </c>
      <c r="F43" t="s">
        <v>21</v>
      </c>
      <c r="G43" t="s">
        <v>22</v>
      </c>
      <c r="H43">
        <v>184620.84</v>
      </c>
      <c r="I43" t="str">
        <f>"Halifax Opportunities Trust"</f>
        <v>Halifax Opportunities Trust</v>
      </c>
      <c r="J43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44" spans="1:10" x14ac:dyDescent="0.35">
      <c r="A44" t="str">
        <f t="shared" si="0"/>
        <v>APR</v>
      </c>
      <c r="B44" t="str">
        <f t="shared" si="1"/>
        <v>20</v>
      </c>
      <c r="C44" t="str">
        <f t="shared" si="2"/>
        <v>2020/21</v>
      </c>
      <c r="D44" t="str">
        <f>"SC CK 215517"</f>
        <v>SC CK 215517</v>
      </c>
      <c r="E44" t="str">
        <f t="shared" si="3"/>
        <v>SC</v>
      </c>
      <c r="F44" t="s">
        <v>21</v>
      </c>
      <c r="G44" t="s">
        <v>22</v>
      </c>
      <c r="H44">
        <v>184620.84</v>
      </c>
      <c r="I44" t="str">
        <f>"Halifax Opportunities Trust"</f>
        <v>Halifax Opportunities Trust</v>
      </c>
      <c r="J44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45" spans="1:10" x14ac:dyDescent="0.35">
      <c r="A45" t="str">
        <f t="shared" si="0"/>
        <v>APR</v>
      </c>
      <c r="B45" t="str">
        <f t="shared" si="1"/>
        <v>20</v>
      </c>
      <c r="C45" t="str">
        <f t="shared" si="2"/>
        <v>2020/21</v>
      </c>
      <c r="D45" t="str">
        <f>"SC CK 214910"</f>
        <v>SC CK 214910</v>
      </c>
      <c r="E45" t="str">
        <f t="shared" si="3"/>
        <v>SC</v>
      </c>
      <c r="F45" t="s">
        <v>21</v>
      </c>
      <c r="G45" t="s">
        <v>22</v>
      </c>
      <c r="H45">
        <v>1300</v>
      </c>
      <c r="I45" t="str">
        <f>"Phoenix Radio"</f>
        <v>Phoenix Radio</v>
      </c>
      <c r="J45" t="str">
        <f>"Group Activities Other Agency And Contracted Services Agency And Contracted Services Short Breaks Integrated commissioning - children's"</f>
        <v>Group Activities Other Agency And Contracted Services Agency And Contracted Services Short Breaks Integrated commissioning - children's</v>
      </c>
    </row>
    <row r="46" spans="1:10" x14ac:dyDescent="0.35">
      <c r="A46" t="str">
        <f t="shared" si="0"/>
        <v>APR</v>
      </c>
      <c r="B46" t="str">
        <f t="shared" si="1"/>
        <v>20</v>
      </c>
      <c r="C46" t="str">
        <f t="shared" si="2"/>
        <v>2020/21</v>
      </c>
      <c r="D46" t="str">
        <f>"CE PH 014108"</f>
        <v>CE PH 014108</v>
      </c>
      <c r="E46" t="str">
        <f t="shared" si="3"/>
        <v>CE</v>
      </c>
      <c r="F46" t="s">
        <v>23</v>
      </c>
      <c r="G46" t="s">
        <v>24</v>
      </c>
      <c r="H46">
        <v>23653</v>
      </c>
      <c r="I46" t="str">
        <f>"The Brunswick Centre"</f>
        <v>The Brunswick Centre</v>
      </c>
      <c r="J46" t="str">
        <f>"Brunswick HIV work Private Contractors Agency And Contracted Services Sexual Health Public Health"</f>
        <v>Brunswick HIV work Private Contractors Agency And Contracted Services Sexual Health Public Health</v>
      </c>
    </row>
    <row r="47" spans="1:10" x14ac:dyDescent="0.35">
      <c r="A47" t="str">
        <f t="shared" si="0"/>
        <v>APR</v>
      </c>
      <c r="B47" t="str">
        <f t="shared" si="1"/>
        <v>20</v>
      </c>
      <c r="C47" t="str">
        <f t="shared" si="2"/>
        <v>2020/21</v>
      </c>
      <c r="D47" t="str">
        <f>"CE PH 014099"</f>
        <v>CE PH 014099</v>
      </c>
      <c r="E47" t="str">
        <f t="shared" si="3"/>
        <v>CE</v>
      </c>
      <c r="F47" t="s">
        <v>23</v>
      </c>
      <c r="G47" t="s">
        <v>24</v>
      </c>
      <c r="H47">
        <v>3232</v>
      </c>
      <c r="I47" t="str">
        <f>"Locala Community Partnerships CIC"</f>
        <v>Locala Community Partnerships CIC</v>
      </c>
      <c r="J47" t="str">
        <f>"Out of area GUM Private Contractors Agency And Contracted Services Sexual Health Public Health"</f>
        <v>Out of area GUM Private Contractors Agency And Contracted Services Sexual Health Public Health</v>
      </c>
    </row>
    <row r="48" spans="1:10" x14ac:dyDescent="0.35">
      <c r="A48" t="str">
        <f t="shared" si="0"/>
        <v>APR</v>
      </c>
      <c r="B48" t="str">
        <f t="shared" si="1"/>
        <v>20</v>
      </c>
      <c r="C48" t="str">
        <f t="shared" si="2"/>
        <v>2020/21</v>
      </c>
      <c r="D48" t="str">
        <f>"CE PH 014100"</f>
        <v>CE PH 014100</v>
      </c>
      <c r="E48" t="str">
        <f t="shared" si="3"/>
        <v>CE</v>
      </c>
      <c r="F48" t="s">
        <v>23</v>
      </c>
      <c r="G48" t="s">
        <v>24</v>
      </c>
      <c r="H48">
        <v>640</v>
      </c>
      <c r="I48" t="str">
        <f>"Locala Community Partnerships CIC"</f>
        <v>Locala Community Partnerships CIC</v>
      </c>
      <c r="J48" t="str">
        <f>"Out of area GUM Private Contractors Agency And Contracted Services Sexual Health Public Health"</f>
        <v>Out of area GUM Private Contractors Agency And Contracted Services Sexual Health Public Health</v>
      </c>
    </row>
    <row r="49" spans="1:10" x14ac:dyDescent="0.35">
      <c r="A49" t="str">
        <f t="shared" si="0"/>
        <v>APR</v>
      </c>
      <c r="B49" t="str">
        <f t="shared" si="1"/>
        <v>20</v>
      </c>
      <c r="C49" t="str">
        <f t="shared" si="2"/>
        <v>2020/21</v>
      </c>
      <c r="D49" t="str">
        <f>"CE PH 014113"</f>
        <v>CE PH 014113</v>
      </c>
      <c r="E49" t="str">
        <f t="shared" si="3"/>
        <v>CE</v>
      </c>
      <c r="F49" t="s">
        <v>23</v>
      </c>
      <c r="G49" t="s">
        <v>24</v>
      </c>
      <c r="H49">
        <v>296959.92</v>
      </c>
      <c r="I49" t="str">
        <f>"Locala Community Partnerships CIC"</f>
        <v>Locala Community Partnerships CIC</v>
      </c>
      <c r="J49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50" spans="1:10" x14ac:dyDescent="0.35">
      <c r="A50" t="str">
        <f t="shared" si="0"/>
        <v>APR</v>
      </c>
      <c r="B50" t="str">
        <f t="shared" si="1"/>
        <v>20</v>
      </c>
      <c r="C50" t="str">
        <f t="shared" si="2"/>
        <v>2020/21</v>
      </c>
      <c r="E50" t="str">
        <f t="shared" si="3"/>
        <v/>
      </c>
      <c r="F50" t="s">
        <v>25</v>
      </c>
      <c r="G50" t="s">
        <v>22</v>
      </c>
      <c r="H50">
        <v>2255.25</v>
      </c>
      <c r="I50" t="str">
        <f>"Helping Hands (HX)"</f>
        <v>Helping Hands (HX)</v>
      </c>
      <c r="J50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51" spans="1:10" x14ac:dyDescent="0.35">
      <c r="A51" t="str">
        <f t="shared" si="0"/>
        <v>APR</v>
      </c>
      <c r="B51" t="str">
        <f t="shared" si="1"/>
        <v>20</v>
      </c>
      <c r="C51" t="str">
        <f t="shared" si="2"/>
        <v>2020/21</v>
      </c>
      <c r="D51" t="str">
        <f>"HS AC 016545"</f>
        <v>HS AC 016545</v>
      </c>
      <c r="E51" t="str">
        <f t="shared" si="3"/>
        <v>HS</v>
      </c>
      <c r="F51" t="s">
        <v>26</v>
      </c>
      <c r="G51" t="s">
        <v>18</v>
      </c>
      <c r="H51">
        <v>1250</v>
      </c>
      <c r="I51" t="str">
        <f>"Fareshare Yorkshire Ltd"</f>
        <v>Fareshare Yorkshire Ltd</v>
      </c>
      <c r="J51" t="str">
        <f>"Contributions Other Grants Reimbursements And Contributions Income Acorns Refuge Provision Housing Services"</f>
        <v>Contributions Other Grants Reimbursements And Contributions Income Acorns Refuge Provision Housing Services</v>
      </c>
    </row>
    <row r="52" spans="1:10" x14ac:dyDescent="0.35">
      <c r="A52" t="str">
        <f t="shared" si="0"/>
        <v>APR</v>
      </c>
      <c r="B52" t="str">
        <f t="shared" si="1"/>
        <v>20</v>
      </c>
      <c r="C52" t="str">
        <f t="shared" si="2"/>
        <v>2020/21</v>
      </c>
      <c r="D52" t="str">
        <f>"HS TA 016474"</f>
        <v>HS TA 016474</v>
      </c>
      <c r="E52" t="str">
        <f t="shared" si="3"/>
        <v>HS</v>
      </c>
      <c r="F52" t="s">
        <v>26</v>
      </c>
      <c r="G52" t="s">
        <v>18</v>
      </c>
      <c r="H52">
        <v>35000</v>
      </c>
      <c r="I52" t="str">
        <f>"Christians Together Calderdale"</f>
        <v>Christians Together Calderdale</v>
      </c>
      <c r="J52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53" spans="1:10" x14ac:dyDescent="0.35">
      <c r="A53" t="str">
        <f t="shared" si="0"/>
        <v>APR</v>
      </c>
      <c r="B53" t="str">
        <f t="shared" si="1"/>
        <v>20</v>
      </c>
      <c r="C53" t="str">
        <f t="shared" si="2"/>
        <v>2020/21</v>
      </c>
      <c r="D53" t="str">
        <f>"HS TA 016555"</f>
        <v>HS TA 016555</v>
      </c>
      <c r="E53" t="str">
        <f t="shared" si="3"/>
        <v>HS</v>
      </c>
      <c r="F53" t="s">
        <v>26</v>
      </c>
      <c r="G53" t="s">
        <v>18</v>
      </c>
      <c r="H53">
        <v>70</v>
      </c>
      <c r="I53" t="str">
        <f>"Calder Valley Transport"</f>
        <v>Calder Valley Transport</v>
      </c>
      <c r="J53" t="str">
        <f>"Residents Removal Costs Miscellaneous Expenses Supplies And Services Ryburn House Housing Services"</f>
        <v>Residents Removal Costs Miscellaneous Expenses Supplies And Services Ryburn House Housing Services</v>
      </c>
    </row>
    <row r="54" spans="1:10" x14ac:dyDescent="0.35">
      <c r="A54" t="str">
        <f t="shared" si="0"/>
        <v>APR</v>
      </c>
      <c r="B54" t="str">
        <f t="shared" si="1"/>
        <v>20</v>
      </c>
      <c r="C54" t="str">
        <f t="shared" si="2"/>
        <v>2020/21</v>
      </c>
      <c r="D54" t="str">
        <f>"HS TA 016476"</f>
        <v>HS TA 016476</v>
      </c>
      <c r="E54" t="str">
        <f t="shared" si="3"/>
        <v>HS</v>
      </c>
      <c r="F54" t="s">
        <v>26</v>
      </c>
      <c r="G54" t="s">
        <v>18</v>
      </c>
      <c r="H54">
        <v>330</v>
      </c>
      <c r="I54" t="str">
        <f>"Sure Start North Halifax"</f>
        <v>Sure Start North Halifax</v>
      </c>
      <c r="J54" t="str">
        <f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55" spans="1:10" x14ac:dyDescent="0.35">
      <c r="A55" t="str">
        <f t="shared" si="0"/>
        <v>APR</v>
      </c>
      <c r="B55" t="str">
        <f t="shared" si="1"/>
        <v>20</v>
      </c>
      <c r="C55" t="str">
        <f t="shared" si="2"/>
        <v>2020/21</v>
      </c>
      <c r="D55" t="str">
        <f>"HS TA 016476"</f>
        <v>HS TA 016476</v>
      </c>
      <c r="E55" t="str">
        <f t="shared" si="3"/>
        <v>HS</v>
      </c>
      <c r="F55" t="s">
        <v>26</v>
      </c>
      <c r="G55" t="s">
        <v>18</v>
      </c>
      <c r="H55">
        <v>81</v>
      </c>
      <c r="I55" t="str">
        <f>"Sure Start North Halifax"</f>
        <v>Sure Start North Halifax</v>
      </c>
      <c r="J55" t="str">
        <f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56" spans="1:10" x14ac:dyDescent="0.35">
      <c r="A56" t="str">
        <f t="shared" si="0"/>
        <v>APR</v>
      </c>
      <c r="B56" t="str">
        <f t="shared" si="1"/>
        <v>20</v>
      </c>
      <c r="C56" t="str">
        <f t="shared" si="2"/>
        <v>2020/21</v>
      </c>
      <c r="D56" t="str">
        <f>"HS TA 016476"</f>
        <v>HS TA 016476</v>
      </c>
      <c r="E56" t="str">
        <f t="shared" si="3"/>
        <v>HS</v>
      </c>
      <c r="F56" t="s">
        <v>26</v>
      </c>
      <c r="G56" t="s">
        <v>18</v>
      </c>
      <c r="H56">
        <v>330</v>
      </c>
      <c r="I56" t="str">
        <f>"Sure Start North Halifax"</f>
        <v>Sure Start North Halifax</v>
      </c>
      <c r="J56" t="str">
        <f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57" spans="1:10" x14ac:dyDescent="0.35">
      <c r="A57" t="str">
        <f t="shared" si="0"/>
        <v>APR</v>
      </c>
      <c r="B57" t="str">
        <f t="shared" si="1"/>
        <v>20</v>
      </c>
      <c r="C57" t="str">
        <f t="shared" si="2"/>
        <v>2020/21</v>
      </c>
      <c r="D57" t="str">
        <f>"TF CI 000447"</f>
        <v>TF CI 000447</v>
      </c>
      <c r="E57" t="str">
        <f t="shared" si="3"/>
        <v>TF</v>
      </c>
      <c r="F57" t="s">
        <v>27</v>
      </c>
      <c r="G57" t="s">
        <v>18</v>
      </c>
      <c r="H57">
        <v>22500</v>
      </c>
      <c r="I57" t="str">
        <f>"Community Foundation for Calderdale"</f>
        <v>Community Foundation for Calderdale</v>
      </c>
      <c r="J57" t="str">
        <f>"Rent Rent And Rates Premises And Related Expenses Halifax Customer First - 19 Horton Street Corporate Asset and Facilities Management"</f>
        <v>Rent Rent And Rates Premises And Related Expenses Halifax Customer First - 19 Horton Street Corporate Asset and Facilities Management</v>
      </c>
    </row>
    <row r="58" spans="1:10" x14ac:dyDescent="0.35">
      <c r="A58" t="str">
        <f t="shared" si="0"/>
        <v>APR</v>
      </c>
      <c r="B58" t="str">
        <f t="shared" si="1"/>
        <v>20</v>
      </c>
      <c r="C58" t="str">
        <f t="shared" si="2"/>
        <v>2020/21</v>
      </c>
      <c r="D58" t="str">
        <f>"CA FM 006212"</f>
        <v>CA FM 006212</v>
      </c>
      <c r="E58" t="str">
        <f t="shared" si="3"/>
        <v>CA</v>
      </c>
      <c r="F58" t="s">
        <v>27</v>
      </c>
      <c r="G58" t="s">
        <v>18</v>
      </c>
      <c r="H58">
        <v>2867.2</v>
      </c>
      <c r="I58" t="str">
        <f>"Calderdale Industrial Museum Association"</f>
        <v>Calderdale Industrial Museum Association</v>
      </c>
      <c r="J58" t="str">
        <f>"Community asset transfer - grant to Calderdale Industrial Museum Assoc Transfer Payments - School Children And Students Transfer Payments Miscel"</f>
        <v>Community asset transfer - grant to Calderdale Industrial Museum Assoc Transfer Payments - School Children And Students Transfer Payments Miscel</v>
      </c>
    </row>
    <row r="59" spans="1:10" x14ac:dyDescent="0.35">
      <c r="A59" t="str">
        <f t="shared" si="0"/>
        <v>APR</v>
      </c>
      <c r="B59" t="str">
        <f t="shared" si="1"/>
        <v>20</v>
      </c>
      <c r="C59" t="str">
        <f t="shared" si="2"/>
        <v>2020/21</v>
      </c>
      <c r="E59" t="str">
        <f t="shared" si="3"/>
        <v/>
      </c>
      <c r="F59" t="s">
        <v>28</v>
      </c>
      <c r="G59" t="s">
        <v>18</v>
      </c>
      <c r="H59">
        <v>-783.5</v>
      </c>
      <c r="I59" t="str">
        <f>"Crows"</f>
        <v>Crows</v>
      </c>
      <c r="J59" t="str">
        <f>"Miscellaneous Contractors Private Contractors Agency And Contracted Services Rights of Way Works Highways and Engineering Services"</f>
        <v>Miscellaneous Contractors Private Contractors Agency And Contracted Services Rights of Way Works Highways and Engineering Services</v>
      </c>
    </row>
    <row r="60" spans="1:10" x14ac:dyDescent="0.35">
      <c r="A60" t="str">
        <f t="shared" si="0"/>
        <v>APR</v>
      </c>
      <c r="B60" t="str">
        <f t="shared" si="1"/>
        <v>20</v>
      </c>
      <c r="C60" t="str">
        <f t="shared" si="2"/>
        <v>2020/21</v>
      </c>
      <c r="E60" t="str">
        <f t="shared" si="3"/>
        <v/>
      </c>
      <c r="F60" t="s">
        <v>28</v>
      </c>
      <c r="G60" t="s">
        <v>18</v>
      </c>
      <c r="H60">
        <v>-110</v>
      </c>
      <c r="I60" t="str">
        <f>"Crows"</f>
        <v>Crows</v>
      </c>
      <c r="J60" t="str">
        <f>"Miscellaneous Contractors Private Contractors Agency And Contracted Services Rights of Way Works Highways and Engineering Services"</f>
        <v>Miscellaneous Contractors Private Contractors Agency And Contracted Services Rights of Way Works Highways and Engineering Services</v>
      </c>
    </row>
    <row r="61" spans="1:10" x14ac:dyDescent="0.35">
      <c r="A61" t="str">
        <f t="shared" si="0"/>
        <v>APR</v>
      </c>
      <c r="B61" t="str">
        <f t="shared" si="1"/>
        <v>20</v>
      </c>
      <c r="C61" t="str">
        <f t="shared" si="2"/>
        <v>2020/21</v>
      </c>
      <c r="D61" t="str">
        <f>"SC MG 215845"</f>
        <v>SC MG 215845</v>
      </c>
      <c r="E61" t="str">
        <f t="shared" si="3"/>
        <v>SC</v>
      </c>
      <c r="F61" t="s">
        <v>29</v>
      </c>
      <c r="G61" t="s">
        <v>30</v>
      </c>
      <c r="H61">
        <v>2633</v>
      </c>
      <c r="I61" t="str">
        <f>"ADCS Ltd"</f>
        <v>ADCS Ltd</v>
      </c>
      <c r="J61" t="str">
        <f>"Miscellaneous - General Miscellaneous Expenses Supplies And Services Strategic Management Group Children and Young People's Serv - Central Depts"</f>
        <v>Miscellaneous - General Miscellaneous Expenses Supplies And Services Strategic Management Group Children and Young People's Serv - Central Depts</v>
      </c>
    </row>
    <row r="62" spans="1:10" x14ac:dyDescent="0.35">
      <c r="A62" t="str">
        <f t="shared" si="0"/>
        <v>APR</v>
      </c>
      <c r="B62" t="str">
        <f t="shared" si="1"/>
        <v>20</v>
      </c>
      <c r="C62" t="str">
        <f t="shared" si="2"/>
        <v>2020/21</v>
      </c>
      <c r="D62" t="str">
        <f>"SC LA 215421"</f>
        <v>SC LA 215421</v>
      </c>
      <c r="E62" t="str">
        <f t="shared" si="3"/>
        <v>SC</v>
      </c>
      <c r="F62" t="s">
        <v>29</v>
      </c>
      <c r="G62" t="s">
        <v>30</v>
      </c>
      <c r="H62">
        <v>3000</v>
      </c>
      <c r="I62" t="str">
        <f>"Calderdale Music Trust Ltd"</f>
        <v>Calderdale Music Trust Ltd</v>
      </c>
      <c r="J62" t="str">
        <f>"Standards Fund grant devolved to schools Government Grants Income Government Grant Holding A/C Children and Young People's Serv - Central Depts."</f>
        <v>Standards Fund grant devolved to schools Government Grants Income Government Grant Holding A/C Children and Young People's Serv - Central Depts.</v>
      </c>
    </row>
    <row r="63" spans="1:10" x14ac:dyDescent="0.35">
      <c r="A63" t="str">
        <f t="shared" si="0"/>
        <v>APR</v>
      </c>
      <c r="B63" t="str">
        <f t="shared" si="1"/>
        <v>20</v>
      </c>
      <c r="C63" t="str">
        <f t="shared" si="2"/>
        <v>2020/21</v>
      </c>
      <c r="D63" t="str">
        <f>"SC SS 215689"</f>
        <v>SC SS 215689</v>
      </c>
      <c r="E63" t="str">
        <f t="shared" si="3"/>
        <v>SC</v>
      </c>
      <c r="F63" t="s">
        <v>29</v>
      </c>
      <c r="G63" t="s">
        <v>30</v>
      </c>
      <c r="H63">
        <v>6553.33</v>
      </c>
      <c r="I63" t="str">
        <f>"Pennine Camphill Community"</f>
        <v>Pennine Camphill Community</v>
      </c>
      <c r="J63" t="str">
        <f>"Top Up - Post 16 Contributions To Funds And Provisions Supplies And Services EHC Support Children and Young People's Serv - Central Depts."</f>
        <v>Top Up - Post 16 Contributions To Funds And Provisions Supplies And Services EHC Support Children and Young People's Serv - Central Depts.</v>
      </c>
    </row>
    <row r="64" spans="1:10" x14ac:dyDescent="0.35">
      <c r="A64" t="str">
        <f t="shared" si="0"/>
        <v>APR</v>
      </c>
      <c r="B64" t="str">
        <f t="shared" si="1"/>
        <v>20</v>
      </c>
      <c r="C64" t="str">
        <f t="shared" si="2"/>
        <v>2020/21</v>
      </c>
      <c r="D64" t="str">
        <f>"SC SS 215696"</f>
        <v>SC SS 215696</v>
      </c>
      <c r="E64" t="str">
        <f t="shared" si="3"/>
        <v>SC</v>
      </c>
      <c r="F64" t="s">
        <v>29</v>
      </c>
      <c r="G64" t="s">
        <v>30</v>
      </c>
      <c r="H64">
        <v>7900</v>
      </c>
      <c r="I64" t="str">
        <f>"Pennine Camphill Community"</f>
        <v>Pennine Camphill Community</v>
      </c>
      <c r="J64" t="str">
        <f>"Top Up - Post 16 Contributions To Funds And Provisions Supplies And Services EHC Support Children and Young People's Serv - Central Depts."</f>
        <v>Top Up - Post 16 Contributions To Funds And Provisions Supplies And Services EHC Support Children and Young People's Serv - Central Depts.</v>
      </c>
    </row>
    <row r="65" spans="1:10" x14ac:dyDescent="0.35">
      <c r="A65" t="str">
        <f t="shared" si="0"/>
        <v>APR</v>
      </c>
      <c r="B65" t="str">
        <f t="shared" si="1"/>
        <v>20</v>
      </c>
      <c r="C65" t="str">
        <f t="shared" si="2"/>
        <v>2020/21</v>
      </c>
      <c r="D65" t="str">
        <f>"SC SS 215698"</f>
        <v>SC SS 215698</v>
      </c>
      <c r="E65" t="str">
        <f t="shared" si="3"/>
        <v>SC</v>
      </c>
      <c r="F65" t="s">
        <v>29</v>
      </c>
      <c r="G65" t="s">
        <v>30</v>
      </c>
      <c r="H65">
        <v>12062.33</v>
      </c>
      <c r="I65" t="str">
        <f>"Royal National College For The Blind"</f>
        <v>Royal National College For The Blind</v>
      </c>
      <c r="J65" t="str">
        <f>"Top Up - Post 16 Contributions To Funds And Provisions Supplies And Services EHC Support Children and Young People's Serv - Central Depts."</f>
        <v>Top Up - Post 16 Contributions To Funds And Provisions Supplies And Services EHC Support Children and Young People's Serv - Central Depts.</v>
      </c>
    </row>
    <row r="66" spans="1:10" x14ac:dyDescent="0.35">
      <c r="A66" t="str">
        <f t="shared" ref="A66:A129" si="6">"APR"</f>
        <v>APR</v>
      </c>
      <c r="B66" t="str">
        <f t="shared" ref="B66:B129" si="7">"20"</f>
        <v>20</v>
      </c>
      <c r="C66" t="str">
        <f t="shared" ref="C66:C129" si="8">"2020/21"</f>
        <v>2020/21</v>
      </c>
      <c r="D66" t="str">
        <f>"SC CY 215344"</f>
        <v>SC CY 215344</v>
      </c>
      <c r="E66" t="str">
        <f t="shared" ref="E66:E129" si="9">LEFT(D66,2)</f>
        <v>SC</v>
      </c>
      <c r="F66" t="s">
        <v>29</v>
      </c>
      <c r="G66" t="s">
        <v>30</v>
      </c>
      <c r="H66">
        <v>565</v>
      </c>
      <c r="I66" t="str">
        <f>"British Youth Council"</f>
        <v>British Youth Council</v>
      </c>
      <c r="J66" t="str">
        <f>"Programme Costs Miscellaneous Expenses Supplies And Services CYP Participation Project Children and Young People's Serv - Central Depts."</f>
        <v>Programme Costs Miscellaneous Expenses Supplies And Services CYP Participation Project Children and Young People's Serv - Central Depts.</v>
      </c>
    </row>
    <row r="67" spans="1:10" x14ac:dyDescent="0.35">
      <c r="A67" t="str">
        <f t="shared" si="6"/>
        <v>APR</v>
      </c>
      <c r="B67" t="str">
        <f t="shared" si="7"/>
        <v>20</v>
      </c>
      <c r="C67" t="str">
        <f t="shared" si="8"/>
        <v>2020/21</v>
      </c>
      <c r="E67" t="str">
        <f t="shared" si="9"/>
        <v/>
      </c>
      <c r="F67" t="s">
        <v>31</v>
      </c>
      <c r="G67" t="s">
        <v>30</v>
      </c>
      <c r="H67">
        <v>-5270</v>
      </c>
      <c r="I67" t="str">
        <f>"Himmat Limited"</f>
        <v>Himmat Limited</v>
      </c>
      <c r="J67" t="str">
        <f t="shared" ref="J67:J72" si="10">"Programme Costs Miscellaneous Expenses Supplies And Services Central Halifax Youth Work Schools and Children's Services - Non-School"</f>
        <v>Programme Costs Miscellaneous Expenses Supplies And Services Central Halifax Youth Work Schools and Children's Services - Non-School</v>
      </c>
    </row>
    <row r="68" spans="1:10" x14ac:dyDescent="0.35">
      <c r="A68" t="str">
        <f t="shared" si="6"/>
        <v>APR</v>
      </c>
      <c r="B68" t="str">
        <f t="shared" si="7"/>
        <v>20</v>
      </c>
      <c r="C68" t="str">
        <f t="shared" si="8"/>
        <v>2020/21</v>
      </c>
      <c r="E68" t="str">
        <f t="shared" si="9"/>
        <v/>
      </c>
      <c r="F68" t="s">
        <v>31</v>
      </c>
      <c r="G68" t="s">
        <v>30</v>
      </c>
      <c r="H68">
        <v>-400</v>
      </c>
      <c r="I68" t="str">
        <f>"Himmat Limited"</f>
        <v>Himmat Limited</v>
      </c>
      <c r="J68" t="str">
        <f t="shared" si="10"/>
        <v>Programme Costs Miscellaneous Expenses Supplies And Services Central Halifax Youth Work Schools and Children's Services - Non-School</v>
      </c>
    </row>
    <row r="69" spans="1:10" x14ac:dyDescent="0.35">
      <c r="A69" t="str">
        <f t="shared" si="6"/>
        <v>APR</v>
      </c>
      <c r="B69" t="str">
        <f t="shared" si="7"/>
        <v>20</v>
      </c>
      <c r="C69" t="str">
        <f t="shared" si="8"/>
        <v>2020/21</v>
      </c>
      <c r="E69" t="str">
        <f t="shared" si="9"/>
        <v/>
      </c>
      <c r="F69" t="s">
        <v>31</v>
      </c>
      <c r="G69" t="s">
        <v>30</v>
      </c>
      <c r="H69">
        <v>-5280</v>
      </c>
      <c r="I69" t="str">
        <f>"Phoenix Radio"</f>
        <v>Phoenix Radio</v>
      </c>
      <c r="J69" t="str">
        <f t="shared" si="10"/>
        <v>Programme Costs Miscellaneous Expenses Supplies And Services Central Halifax Youth Work Schools and Children's Services - Non-School</v>
      </c>
    </row>
    <row r="70" spans="1:10" x14ac:dyDescent="0.35">
      <c r="A70" t="str">
        <f t="shared" si="6"/>
        <v>APR</v>
      </c>
      <c r="B70" t="str">
        <f t="shared" si="7"/>
        <v>20</v>
      </c>
      <c r="C70" t="str">
        <f t="shared" si="8"/>
        <v>2020/21</v>
      </c>
      <c r="D70" t="str">
        <f>"SC YB 215337"</f>
        <v>SC YB 215337</v>
      </c>
      <c r="E70" t="str">
        <f t="shared" si="9"/>
        <v>SC</v>
      </c>
      <c r="F70" t="s">
        <v>31</v>
      </c>
      <c r="G70" t="s">
        <v>30</v>
      </c>
      <c r="H70">
        <v>400</v>
      </c>
      <c r="I70" t="str">
        <f>"Himmat Limited"</f>
        <v>Himmat Limited</v>
      </c>
      <c r="J70" t="str">
        <f t="shared" si="10"/>
        <v>Programme Costs Miscellaneous Expenses Supplies And Services Central Halifax Youth Work Schools and Children's Services - Non-School</v>
      </c>
    </row>
    <row r="71" spans="1:10" x14ac:dyDescent="0.35">
      <c r="A71" t="str">
        <f t="shared" si="6"/>
        <v>APR</v>
      </c>
      <c r="B71" t="str">
        <f t="shared" si="7"/>
        <v>20</v>
      </c>
      <c r="C71" t="str">
        <f t="shared" si="8"/>
        <v>2020/21</v>
      </c>
      <c r="D71" t="str">
        <f>"SC YB 215337"</f>
        <v>SC YB 215337</v>
      </c>
      <c r="E71" t="str">
        <f t="shared" si="9"/>
        <v>SC</v>
      </c>
      <c r="F71" t="s">
        <v>31</v>
      </c>
      <c r="G71" t="s">
        <v>30</v>
      </c>
      <c r="H71">
        <v>5270</v>
      </c>
      <c r="I71" t="str">
        <f>"Himmat Limited"</f>
        <v>Himmat Limited</v>
      </c>
      <c r="J71" t="str">
        <f t="shared" si="10"/>
        <v>Programme Costs Miscellaneous Expenses Supplies And Services Central Halifax Youth Work Schools and Children's Services - Non-School</v>
      </c>
    </row>
    <row r="72" spans="1:10" x14ac:dyDescent="0.35">
      <c r="A72" t="str">
        <f t="shared" si="6"/>
        <v>APR</v>
      </c>
      <c r="B72" t="str">
        <f t="shared" si="7"/>
        <v>20</v>
      </c>
      <c r="C72" t="str">
        <f t="shared" si="8"/>
        <v>2020/21</v>
      </c>
      <c r="D72" t="str">
        <f>"SC YB 215338"</f>
        <v>SC YB 215338</v>
      </c>
      <c r="E72" t="str">
        <f t="shared" si="9"/>
        <v>SC</v>
      </c>
      <c r="F72" t="s">
        <v>31</v>
      </c>
      <c r="G72" t="s">
        <v>30</v>
      </c>
      <c r="H72">
        <v>5280</v>
      </c>
      <c r="I72" t="str">
        <f>"Phoenix Radio"</f>
        <v>Phoenix Radio</v>
      </c>
      <c r="J72" t="str">
        <f t="shared" si="10"/>
        <v>Programme Costs Miscellaneous Expenses Supplies And Services Central Halifax Youth Work Schools and Children's Services - Non-School</v>
      </c>
    </row>
    <row r="73" spans="1:10" x14ac:dyDescent="0.35">
      <c r="A73" t="str">
        <f t="shared" si="6"/>
        <v>APR</v>
      </c>
      <c r="B73" t="str">
        <f t="shared" si="7"/>
        <v>20</v>
      </c>
      <c r="C73" t="str">
        <f t="shared" si="8"/>
        <v>2020/21</v>
      </c>
      <c r="D73" t="str">
        <f>"SC YW 215841"</f>
        <v>SC YW 215841</v>
      </c>
      <c r="E73" t="str">
        <f t="shared" si="9"/>
        <v>SC</v>
      </c>
      <c r="F73" t="s">
        <v>31</v>
      </c>
      <c r="G73" t="s">
        <v>30</v>
      </c>
      <c r="H73">
        <v>150</v>
      </c>
      <c r="I73" t="str">
        <f>"Halifax District Scouts"</f>
        <v>Halifax District Scouts</v>
      </c>
      <c r="J73" t="str">
        <f>"Misc Expenses Miscellaneous Expenses Supplies And Services Orangebox Schools and Children's Services - Non-School"</f>
        <v>Misc Expenses Miscellaneous Expenses Supplies And Services Orangebox Schools and Children's Services - Non-School</v>
      </c>
    </row>
    <row r="74" spans="1:10" x14ac:dyDescent="0.35">
      <c r="A74" t="str">
        <f t="shared" si="6"/>
        <v>APR</v>
      </c>
      <c r="B74" t="str">
        <f t="shared" si="7"/>
        <v>20</v>
      </c>
      <c r="C74" t="str">
        <f t="shared" si="8"/>
        <v>2020/21</v>
      </c>
      <c r="D74" t="str">
        <f>"SC YW 215841"</f>
        <v>SC YW 215841</v>
      </c>
      <c r="E74" t="str">
        <f t="shared" si="9"/>
        <v>SC</v>
      </c>
      <c r="F74" t="s">
        <v>31</v>
      </c>
      <c r="G74" t="s">
        <v>30</v>
      </c>
      <c r="H74">
        <v>1020</v>
      </c>
      <c r="I74" t="str">
        <f>"Halifax District Scouts"</f>
        <v>Halifax District Scouts</v>
      </c>
      <c r="J74" t="str">
        <f>"Misc Expenses Miscellaneous Expenses Supplies And Services Orangebox Schools and Children's Services - Non-School"</f>
        <v>Misc Expenses Miscellaneous Expenses Supplies And Services Orangebox Schools and Children's Services - Non-School</v>
      </c>
    </row>
    <row r="75" spans="1:10" x14ac:dyDescent="0.35">
      <c r="A75" t="str">
        <f t="shared" si="6"/>
        <v>APR</v>
      </c>
      <c r="B75" t="str">
        <f t="shared" si="7"/>
        <v>20</v>
      </c>
      <c r="C75" t="str">
        <f t="shared" si="8"/>
        <v>2020/21</v>
      </c>
      <c r="D75" t="str">
        <f>"SC YW 215566"</f>
        <v>SC YW 215566</v>
      </c>
      <c r="E75" t="str">
        <f t="shared" si="9"/>
        <v>SC</v>
      </c>
      <c r="F75" t="s">
        <v>31</v>
      </c>
      <c r="G75" t="s">
        <v>30</v>
      </c>
      <c r="H75">
        <v>6885</v>
      </c>
      <c r="I75" t="str">
        <f>"Himmat Limited"</f>
        <v>Himmat Limited</v>
      </c>
      <c r="J75" t="str">
        <f>"Misc Expenses Miscellaneous Expenses Supplies And Services Orangebox Schools and Children's Services - Non-School"</f>
        <v>Misc Expenses Miscellaneous Expenses Supplies And Services Orangebox Schools and Children's Services - Non-School</v>
      </c>
    </row>
    <row r="76" spans="1:10" x14ac:dyDescent="0.35">
      <c r="A76" t="str">
        <f t="shared" si="6"/>
        <v>APR</v>
      </c>
      <c r="B76" t="str">
        <f t="shared" si="7"/>
        <v>20</v>
      </c>
      <c r="C76" t="str">
        <f t="shared" si="8"/>
        <v>2020/21</v>
      </c>
      <c r="D76" t="str">
        <f>"SC EY 215745"</f>
        <v>SC EY 215745</v>
      </c>
      <c r="E76" t="str">
        <f t="shared" si="9"/>
        <v>SC</v>
      </c>
      <c r="F76" t="s">
        <v>32</v>
      </c>
      <c r="G76" t="s">
        <v>30</v>
      </c>
      <c r="H76">
        <v>180</v>
      </c>
      <c r="I76" t="str">
        <f>"Siddal Children's Centre"</f>
        <v>Siddal Children's Centre</v>
      </c>
      <c r="J76" t="str">
        <f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77" spans="1:10" x14ac:dyDescent="0.35">
      <c r="A77" t="str">
        <f t="shared" si="6"/>
        <v>APR</v>
      </c>
      <c r="B77" t="str">
        <f t="shared" si="7"/>
        <v>20</v>
      </c>
      <c r="C77" t="str">
        <f t="shared" si="8"/>
        <v>2020/21</v>
      </c>
      <c r="D77" t="str">
        <f>"SC EY 215844"</f>
        <v>SC EY 215844</v>
      </c>
      <c r="E77" t="str">
        <f t="shared" si="9"/>
        <v>SC</v>
      </c>
      <c r="F77" t="s">
        <v>32</v>
      </c>
      <c r="G77" t="s">
        <v>30</v>
      </c>
      <c r="H77">
        <v>389</v>
      </c>
      <c r="I77" t="str">
        <f>"Todmorden Children's Centre"</f>
        <v>Todmorden Children's Centre</v>
      </c>
      <c r="J77" t="str">
        <f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78" spans="1:10" x14ac:dyDescent="0.35">
      <c r="A78" t="str">
        <f t="shared" si="6"/>
        <v>APR</v>
      </c>
      <c r="B78" t="str">
        <f t="shared" si="7"/>
        <v>20</v>
      </c>
      <c r="C78" t="str">
        <f t="shared" si="8"/>
        <v>2020/21</v>
      </c>
      <c r="D78" t="str">
        <f>"SC EY 215783"</f>
        <v>SC EY 215783</v>
      </c>
      <c r="E78" t="str">
        <f t="shared" si="9"/>
        <v>SC</v>
      </c>
      <c r="F78" t="s">
        <v>32</v>
      </c>
      <c r="G78" t="s">
        <v>30</v>
      </c>
      <c r="H78">
        <v>504</v>
      </c>
      <c r="I78" t="str">
        <f>"Hopscotch Tuel Lane Ltd"</f>
        <v>Hopscotch Tuel Lane Ltd</v>
      </c>
      <c r="J78" t="str">
        <f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79" spans="1:10" x14ac:dyDescent="0.35">
      <c r="A79" t="str">
        <f t="shared" si="6"/>
        <v>APR</v>
      </c>
      <c r="B79" t="str">
        <f t="shared" si="7"/>
        <v>20</v>
      </c>
      <c r="C79" t="str">
        <f t="shared" si="8"/>
        <v>2020/21</v>
      </c>
      <c r="D79" t="str">
        <f>"SC EY 215551"</f>
        <v>SC EY 215551</v>
      </c>
      <c r="E79" t="str">
        <f t="shared" si="9"/>
        <v>SC</v>
      </c>
      <c r="F79" t="s">
        <v>32</v>
      </c>
      <c r="G79" t="s">
        <v>30</v>
      </c>
      <c r="H79">
        <v>756</v>
      </c>
      <c r="I79" t="str">
        <f>"Children's Corner Pre-School Committee"</f>
        <v>Children's Corner Pre-School Committee</v>
      </c>
      <c r="J79" t="str">
        <f t="shared" ref="J79:J110" si="11"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80" spans="1:10" x14ac:dyDescent="0.35">
      <c r="A80" t="str">
        <f t="shared" si="6"/>
        <v>APR</v>
      </c>
      <c r="B80" t="str">
        <f t="shared" si="7"/>
        <v>20</v>
      </c>
      <c r="C80" t="str">
        <f t="shared" si="8"/>
        <v>2020/21</v>
      </c>
      <c r="D80" t="str">
        <f>"SC EY 215557"</f>
        <v>SC EY 215557</v>
      </c>
      <c r="E80" t="str">
        <f t="shared" si="9"/>
        <v>SC</v>
      </c>
      <c r="F80" t="s">
        <v>32</v>
      </c>
      <c r="G80" t="s">
        <v>30</v>
      </c>
      <c r="H80">
        <v>1242</v>
      </c>
      <c r="I80" t="str">
        <f>"Creations Community Childrens Centre"</f>
        <v>Creations Community Childrens Centre</v>
      </c>
      <c r="J80" t="str">
        <f t="shared" si="11"/>
        <v>3/4 year old inclusion support (DSG) Grants And Subscriptions Supplies And Services D C A T C H Childrens Services Unit</v>
      </c>
    </row>
    <row r="81" spans="1:10" x14ac:dyDescent="0.35">
      <c r="A81" t="str">
        <f t="shared" si="6"/>
        <v>APR</v>
      </c>
      <c r="B81" t="str">
        <f t="shared" si="7"/>
        <v>20</v>
      </c>
      <c r="C81" t="str">
        <f t="shared" si="8"/>
        <v>2020/21</v>
      </c>
      <c r="D81" t="str">
        <f>"SC EY 215557"</f>
        <v>SC EY 215557</v>
      </c>
      <c r="E81" t="str">
        <f t="shared" si="9"/>
        <v>SC</v>
      </c>
      <c r="F81" t="s">
        <v>32</v>
      </c>
      <c r="G81" t="s">
        <v>30</v>
      </c>
      <c r="H81">
        <v>1242</v>
      </c>
      <c r="I81" t="str">
        <f>"Creations Community Childrens Centre"</f>
        <v>Creations Community Childrens Centre</v>
      </c>
      <c r="J81" t="str">
        <f t="shared" si="11"/>
        <v>3/4 year old inclusion support (DSG) Grants And Subscriptions Supplies And Services D C A T C H Childrens Services Unit</v>
      </c>
    </row>
    <row r="82" spans="1:10" x14ac:dyDescent="0.35">
      <c r="A82" t="str">
        <f t="shared" si="6"/>
        <v>APR</v>
      </c>
      <c r="B82" t="str">
        <f t="shared" si="7"/>
        <v>20</v>
      </c>
      <c r="C82" t="str">
        <f t="shared" si="8"/>
        <v>2020/21</v>
      </c>
      <c r="D82" t="str">
        <f>"SC EY 215557"</f>
        <v>SC EY 215557</v>
      </c>
      <c r="E82" t="str">
        <f t="shared" si="9"/>
        <v>SC</v>
      </c>
      <c r="F82" t="s">
        <v>32</v>
      </c>
      <c r="G82" t="s">
        <v>30</v>
      </c>
      <c r="H82">
        <v>1242</v>
      </c>
      <c r="I82" t="str">
        <f>"Creations Community Childrens Centre"</f>
        <v>Creations Community Childrens Centre</v>
      </c>
      <c r="J82" t="str">
        <f t="shared" si="11"/>
        <v>3/4 year old inclusion support (DSG) Grants And Subscriptions Supplies And Services D C A T C H Childrens Services Unit</v>
      </c>
    </row>
    <row r="83" spans="1:10" x14ac:dyDescent="0.35">
      <c r="A83" t="str">
        <f t="shared" si="6"/>
        <v>APR</v>
      </c>
      <c r="B83" t="str">
        <f t="shared" si="7"/>
        <v>20</v>
      </c>
      <c r="C83" t="str">
        <f t="shared" si="8"/>
        <v>2020/21</v>
      </c>
      <c r="D83" t="str">
        <f>"SC EY 215565"</f>
        <v>SC EY 215565</v>
      </c>
      <c r="E83" t="str">
        <f t="shared" si="9"/>
        <v>SC</v>
      </c>
      <c r="F83" t="s">
        <v>32</v>
      </c>
      <c r="G83" t="s">
        <v>30</v>
      </c>
      <c r="H83">
        <v>1620</v>
      </c>
      <c r="I83" t="str">
        <f>"Eureka Nursery"</f>
        <v>Eureka Nursery</v>
      </c>
      <c r="J83" t="str">
        <f t="shared" si="11"/>
        <v>3/4 year old inclusion support (DSG) Grants And Subscriptions Supplies And Services D C A T C H Childrens Services Unit</v>
      </c>
    </row>
    <row r="84" spans="1:10" x14ac:dyDescent="0.35">
      <c r="A84" t="str">
        <f t="shared" si="6"/>
        <v>APR</v>
      </c>
      <c r="B84" t="str">
        <f t="shared" si="7"/>
        <v>20</v>
      </c>
      <c r="C84" t="str">
        <f t="shared" si="8"/>
        <v>2020/21</v>
      </c>
      <c r="D84" t="str">
        <f>"SC EY 215565"</f>
        <v>SC EY 215565</v>
      </c>
      <c r="E84" t="str">
        <f t="shared" si="9"/>
        <v>SC</v>
      </c>
      <c r="F84" t="s">
        <v>32</v>
      </c>
      <c r="G84" t="s">
        <v>30</v>
      </c>
      <c r="H84">
        <v>972</v>
      </c>
      <c r="I84" t="str">
        <f>"Eureka Nursery"</f>
        <v>Eureka Nursery</v>
      </c>
      <c r="J84" t="str">
        <f t="shared" si="11"/>
        <v>3/4 year old inclusion support (DSG) Grants And Subscriptions Supplies And Services D C A T C H Childrens Services Unit</v>
      </c>
    </row>
    <row r="85" spans="1:10" x14ac:dyDescent="0.35">
      <c r="A85" t="str">
        <f t="shared" si="6"/>
        <v>APR</v>
      </c>
      <c r="B85" t="str">
        <f t="shared" si="7"/>
        <v>20</v>
      </c>
      <c r="C85" t="str">
        <f t="shared" si="8"/>
        <v>2020/21</v>
      </c>
      <c r="D85" t="str">
        <f>"SC EY 215594"</f>
        <v>SC EY 215594</v>
      </c>
      <c r="E85" t="str">
        <f t="shared" si="9"/>
        <v>SC</v>
      </c>
      <c r="F85" t="s">
        <v>32</v>
      </c>
      <c r="G85" t="s">
        <v>30</v>
      </c>
      <c r="H85">
        <v>810</v>
      </c>
      <c r="I85" t="str">
        <f>"Halifax Opportunities Trust"</f>
        <v>Halifax Opportunities Trust</v>
      </c>
      <c r="J85" t="str">
        <f t="shared" si="11"/>
        <v>3/4 year old inclusion support (DSG) Grants And Subscriptions Supplies And Services D C A T C H Childrens Services Unit</v>
      </c>
    </row>
    <row r="86" spans="1:10" x14ac:dyDescent="0.35">
      <c r="A86" t="str">
        <f t="shared" si="6"/>
        <v>APR</v>
      </c>
      <c r="B86" t="str">
        <f t="shared" si="7"/>
        <v>20</v>
      </c>
      <c r="C86" t="str">
        <f t="shared" si="8"/>
        <v>2020/21</v>
      </c>
      <c r="D86" t="str">
        <f t="shared" ref="D86:D91" si="12">"SC EY 215582"</f>
        <v>SC EY 215582</v>
      </c>
      <c r="E86" t="str">
        <f t="shared" si="9"/>
        <v>SC</v>
      </c>
      <c r="F86" t="s">
        <v>32</v>
      </c>
      <c r="G86" t="s">
        <v>30</v>
      </c>
      <c r="H86">
        <v>1242</v>
      </c>
      <c r="I86" t="str">
        <f t="shared" ref="I86:I91" si="13">"Innovations Children's Centre"</f>
        <v>Innovations Children's Centre</v>
      </c>
      <c r="J86" t="str">
        <f t="shared" si="11"/>
        <v>3/4 year old inclusion support (DSG) Grants And Subscriptions Supplies And Services D C A T C H Childrens Services Unit</v>
      </c>
    </row>
    <row r="87" spans="1:10" x14ac:dyDescent="0.35">
      <c r="A87" t="str">
        <f t="shared" si="6"/>
        <v>APR</v>
      </c>
      <c r="B87" t="str">
        <f t="shared" si="7"/>
        <v>20</v>
      </c>
      <c r="C87" t="str">
        <f t="shared" si="8"/>
        <v>2020/21</v>
      </c>
      <c r="D87" t="str">
        <f t="shared" si="12"/>
        <v>SC EY 215582</v>
      </c>
      <c r="E87" t="str">
        <f t="shared" si="9"/>
        <v>SC</v>
      </c>
      <c r="F87" t="s">
        <v>32</v>
      </c>
      <c r="G87" t="s">
        <v>30</v>
      </c>
      <c r="H87">
        <v>810</v>
      </c>
      <c r="I87" t="str">
        <f t="shared" si="13"/>
        <v>Innovations Children's Centre</v>
      </c>
      <c r="J87" t="str">
        <f t="shared" si="11"/>
        <v>3/4 year old inclusion support (DSG) Grants And Subscriptions Supplies And Services D C A T C H Childrens Services Unit</v>
      </c>
    </row>
    <row r="88" spans="1:10" x14ac:dyDescent="0.35">
      <c r="A88" t="str">
        <f t="shared" si="6"/>
        <v>APR</v>
      </c>
      <c r="B88" t="str">
        <f t="shared" si="7"/>
        <v>20</v>
      </c>
      <c r="C88" t="str">
        <f t="shared" si="8"/>
        <v>2020/21</v>
      </c>
      <c r="D88" t="str">
        <f t="shared" si="12"/>
        <v>SC EY 215582</v>
      </c>
      <c r="E88" t="str">
        <f t="shared" si="9"/>
        <v>SC</v>
      </c>
      <c r="F88" t="s">
        <v>32</v>
      </c>
      <c r="G88" t="s">
        <v>30</v>
      </c>
      <c r="H88">
        <v>1242</v>
      </c>
      <c r="I88" t="str">
        <f t="shared" si="13"/>
        <v>Innovations Children's Centre</v>
      </c>
      <c r="J88" t="str">
        <f t="shared" si="11"/>
        <v>3/4 year old inclusion support (DSG) Grants And Subscriptions Supplies And Services D C A T C H Childrens Services Unit</v>
      </c>
    </row>
    <row r="89" spans="1:10" x14ac:dyDescent="0.35">
      <c r="A89" t="str">
        <f t="shared" si="6"/>
        <v>APR</v>
      </c>
      <c r="B89" t="str">
        <f t="shared" si="7"/>
        <v>20</v>
      </c>
      <c r="C89" t="str">
        <f t="shared" si="8"/>
        <v>2020/21</v>
      </c>
      <c r="D89" t="str">
        <f t="shared" si="12"/>
        <v>SC EY 215582</v>
      </c>
      <c r="E89" t="str">
        <f t="shared" si="9"/>
        <v>SC</v>
      </c>
      <c r="F89" t="s">
        <v>32</v>
      </c>
      <c r="G89" t="s">
        <v>30</v>
      </c>
      <c r="H89">
        <v>1282.5</v>
      </c>
      <c r="I89" t="str">
        <f t="shared" si="13"/>
        <v>Innovations Children's Centre</v>
      </c>
      <c r="J89" t="str">
        <f t="shared" si="11"/>
        <v>3/4 year old inclusion support (DSG) Grants And Subscriptions Supplies And Services D C A T C H Childrens Services Unit</v>
      </c>
    </row>
    <row r="90" spans="1:10" x14ac:dyDescent="0.35">
      <c r="A90" t="str">
        <f t="shared" si="6"/>
        <v>APR</v>
      </c>
      <c r="B90" t="str">
        <f t="shared" si="7"/>
        <v>20</v>
      </c>
      <c r="C90" t="str">
        <f t="shared" si="8"/>
        <v>2020/21</v>
      </c>
      <c r="D90" t="str">
        <f t="shared" si="12"/>
        <v>SC EY 215582</v>
      </c>
      <c r="E90" t="str">
        <f t="shared" si="9"/>
        <v>SC</v>
      </c>
      <c r="F90" t="s">
        <v>32</v>
      </c>
      <c r="G90" t="s">
        <v>30</v>
      </c>
      <c r="H90">
        <v>1242</v>
      </c>
      <c r="I90" t="str">
        <f t="shared" si="13"/>
        <v>Innovations Children's Centre</v>
      </c>
      <c r="J90" t="str">
        <f t="shared" si="11"/>
        <v>3/4 year old inclusion support (DSG) Grants And Subscriptions Supplies And Services D C A T C H Childrens Services Unit</v>
      </c>
    </row>
    <row r="91" spans="1:10" x14ac:dyDescent="0.35">
      <c r="A91" t="str">
        <f t="shared" si="6"/>
        <v>APR</v>
      </c>
      <c r="B91" t="str">
        <f t="shared" si="7"/>
        <v>20</v>
      </c>
      <c r="C91" t="str">
        <f t="shared" si="8"/>
        <v>2020/21</v>
      </c>
      <c r="D91" t="str">
        <f t="shared" si="12"/>
        <v>SC EY 215582</v>
      </c>
      <c r="E91" t="str">
        <f t="shared" si="9"/>
        <v>SC</v>
      </c>
      <c r="F91" t="s">
        <v>32</v>
      </c>
      <c r="G91" t="s">
        <v>30</v>
      </c>
      <c r="H91">
        <v>810</v>
      </c>
      <c r="I91" t="str">
        <f t="shared" si="13"/>
        <v>Innovations Children's Centre</v>
      </c>
      <c r="J91" t="str">
        <f t="shared" si="11"/>
        <v>3/4 year old inclusion support (DSG) Grants And Subscriptions Supplies And Services D C A T C H Childrens Services Unit</v>
      </c>
    </row>
    <row r="92" spans="1:10" x14ac:dyDescent="0.35">
      <c r="A92" t="str">
        <f t="shared" si="6"/>
        <v>APR</v>
      </c>
      <c r="B92" t="str">
        <f t="shared" si="7"/>
        <v>20</v>
      </c>
      <c r="C92" t="str">
        <f t="shared" si="8"/>
        <v>2020/21</v>
      </c>
      <c r="D92" t="str">
        <f>"SC EY 215583"</f>
        <v>SC EY 215583</v>
      </c>
      <c r="E92" t="str">
        <f t="shared" si="9"/>
        <v>SC</v>
      </c>
      <c r="F92" t="s">
        <v>32</v>
      </c>
      <c r="G92" t="s">
        <v>30</v>
      </c>
      <c r="H92">
        <v>756</v>
      </c>
      <c r="I92" t="str">
        <f>"Jubilee Children's Centre"</f>
        <v>Jubilee Children's Centre</v>
      </c>
      <c r="J92" t="str">
        <f t="shared" si="11"/>
        <v>3/4 year old inclusion support (DSG) Grants And Subscriptions Supplies And Services D C A T C H Childrens Services Unit</v>
      </c>
    </row>
    <row r="93" spans="1:10" x14ac:dyDescent="0.35">
      <c r="A93" t="str">
        <f t="shared" si="6"/>
        <v>APR</v>
      </c>
      <c r="B93" t="str">
        <f t="shared" si="7"/>
        <v>20</v>
      </c>
      <c r="C93" t="str">
        <f t="shared" si="8"/>
        <v>2020/21</v>
      </c>
      <c r="D93" t="str">
        <f>"SC EY 215583"</f>
        <v>SC EY 215583</v>
      </c>
      <c r="E93" t="str">
        <f t="shared" si="9"/>
        <v>SC</v>
      </c>
      <c r="F93" t="s">
        <v>32</v>
      </c>
      <c r="G93" t="s">
        <v>30</v>
      </c>
      <c r="H93">
        <v>1242</v>
      </c>
      <c r="I93" t="str">
        <f>"Jubilee Children's Centre"</f>
        <v>Jubilee Children's Centre</v>
      </c>
      <c r="J93" t="str">
        <f t="shared" si="11"/>
        <v>3/4 year old inclusion support (DSG) Grants And Subscriptions Supplies And Services D C A T C H Childrens Services Unit</v>
      </c>
    </row>
    <row r="94" spans="1:10" x14ac:dyDescent="0.35">
      <c r="A94" t="str">
        <f t="shared" si="6"/>
        <v>APR</v>
      </c>
      <c r="B94" t="str">
        <f t="shared" si="7"/>
        <v>20</v>
      </c>
      <c r="C94" t="str">
        <f t="shared" si="8"/>
        <v>2020/21</v>
      </c>
      <c r="D94" t="str">
        <f>"SC EY 215583"</f>
        <v>SC EY 215583</v>
      </c>
      <c r="E94" t="str">
        <f t="shared" si="9"/>
        <v>SC</v>
      </c>
      <c r="F94" t="s">
        <v>32</v>
      </c>
      <c r="G94" t="s">
        <v>30</v>
      </c>
      <c r="H94">
        <v>1242</v>
      </c>
      <c r="I94" t="str">
        <f>"Jubilee Children's Centre"</f>
        <v>Jubilee Children's Centre</v>
      </c>
      <c r="J94" t="str">
        <f t="shared" si="11"/>
        <v>3/4 year old inclusion support (DSG) Grants And Subscriptions Supplies And Services D C A T C H Childrens Services Unit</v>
      </c>
    </row>
    <row r="95" spans="1:10" x14ac:dyDescent="0.35">
      <c r="A95" t="str">
        <f t="shared" si="6"/>
        <v>APR</v>
      </c>
      <c r="B95" t="str">
        <f t="shared" si="7"/>
        <v>20</v>
      </c>
      <c r="C95" t="str">
        <f t="shared" si="8"/>
        <v>2020/21</v>
      </c>
      <c r="D95" t="str">
        <f>"SC EY 215583"</f>
        <v>SC EY 215583</v>
      </c>
      <c r="E95" t="str">
        <f t="shared" si="9"/>
        <v>SC</v>
      </c>
      <c r="F95" t="s">
        <v>32</v>
      </c>
      <c r="G95" t="s">
        <v>30</v>
      </c>
      <c r="H95">
        <v>1242</v>
      </c>
      <c r="I95" t="str">
        <f>"Jubilee Children's Centre"</f>
        <v>Jubilee Children's Centre</v>
      </c>
      <c r="J95" t="str">
        <f t="shared" si="11"/>
        <v>3/4 year old inclusion support (DSG) Grants And Subscriptions Supplies And Services D C A T C H Childrens Services Unit</v>
      </c>
    </row>
    <row r="96" spans="1:10" x14ac:dyDescent="0.35">
      <c r="A96" t="str">
        <f t="shared" si="6"/>
        <v>APR</v>
      </c>
      <c r="B96" t="str">
        <f t="shared" si="7"/>
        <v>20</v>
      </c>
      <c r="C96" t="str">
        <f t="shared" si="8"/>
        <v>2020/21</v>
      </c>
      <c r="D96" t="str">
        <f>"SC EY 215583"</f>
        <v>SC EY 215583</v>
      </c>
      <c r="E96" t="str">
        <f t="shared" si="9"/>
        <v>SC</v>
      </c>
      <c r="F96" t="s">
        <v>32</v>
      </c>
      <c r="G96" t="s">
        <v>30</v>
      </c>
      <c r="H96">
        <v>1242</v>
      </c>
      <c r="I96" t="str">
        <f>"Jubilee Children's Centre"</f>
        <v>Jubilee Children's Centre</v>
      </c>
      <c r="J96" t="str">
        <f t="shared" si="11"/>
        <v>3/4 year old inclusion support (DSG) Grants And Subscriptions Supplies And Services D C A T C H Childrens Services Unit</v>
      </c>
    </row>
    <row r="97" spans="1:10" x14ac:dyDescent="0.35">
      <c r="A97" t="str">
        <f t="shared" si="6"/>
        <v>APR</v>
      </c>
      <c r="B97" t="str">
        <f t="shared" si="7"/>
        <v>20</v>
      </c>
      <c r="C97" t="str">
        <f t="shared" si="8"/>
        <v>2020/21</v>
      </c>
      <c r="D97" t="str">
        <f>"SC EY 215539"</f>
        <v>SC EY 215539</v>
      </c>
      <c r="E97" t="str">
        <f t="shared" si="9"/>
        <v>SC</v>
      </c>
      <c r="F97" t="s">
        <v>32</v>
      </c>
      <c r="G97" t="s">
        <v>30</v>
      </c>
      <c r="H97">
        <v>1242</v>
      </c>
      <c r="I97" t="str">
        <f>"Ash Green Childrens Centre"</f>
        <v>Ash Green Childrens Centre</v>
      </c>
      <c r="J97" t="str">
        <f t="shared" si="11"/>
        <v>3/4 year old inclusion support (DSG) Grants And Subscriptions Supplies And Services D C A T C H Childrens Services Unit</v>
      </c>
    </row>
    <row r="98" spans="1:10" x14ac:dyDescent="0.35">
      <c r="A98" t="str">
        <f t="shared" si="6"/>
        <v>APR</v>
      </c>
      <c r="B98" t="str">
        <f t="shared" si="7"/>
        <v>20</v>
      </c>
      <c r="C98" t="str">
        <f t="shared" si="8"/>
        <v>2020/21</v>
      </c>
      <c r="D98" t="str">
        <f>"SC EY 215586"</f>
        <v>SC EY 215586</v>
      </c>
      <c r="E98" t="str">
        <f t="shared" si="9"/>
        <v>SC</v>
      </c>
      <c r="F98" t="s">
        <v>32</v>
      </c>
      <c r="G98" t="s">
        <v>30</v>
      </c>
      <c r="H98">
        <v>1620</v>
      </c>
      <c r="I98" t="str">
        <f>"Kevin Pearce Childrens Centre"</f>
        <v>Kevin Pearce Childrens Centre</v>
      </c>
      <c r="J98" t="str">
        <f t="shared" si="11"/>
        <v>3/4 year old inclusion support (DSG) Grants And Subscriptions Supplies And Services D C A T C H Childrens Services Unit</v>
      </c>
    </row>
    <row r="99" spans="1:10" x14ac:dyDescent="0.35">
      <c r="A99" t="str">
        <f t="shared" si="6"/>
        <v>APR</v>
      </c>
      <c r="B99" t="str">
        <f t="shared" si="7"/>
        <v>20</v>
      </c>
      <c r="C99" t="str">
        <f t="shared" si="8"/>
        <v>2020/21</v>
      </c>
      <c r="D99" t="str">
        <f>"SC EY 215586"</f>
        <v>SC EY 215586</v>
      </c>
      <c r="E99" t="str">
        <f t="shared" si="9"/>
        <v>SC</v>
      </c>
      <c r="F99" t="s">
        <v>32</v>
      </c>
      <c r="G99" t="s">
        <v>30</v>
      </c>
      <c r="H99">
        <v>1242</v>
      </c>
      <c r="I99" t="str">
        <f>"Kevin Pearce Childrens Centre"</f>
        <v>Kevin Pearce Childrens Centre</v>
      </c>
      <c r="J99" t="str">
        <f t="shared" si="11"/>
        <v>3/4 year old inclusion support (DSG) Grants And Subscriptions Supplies And Services D C A T C H Childrens Services Unit</v>
      </c>
    </row>
    <row r="100" spans="1:10" x14ac:dyDescent="0.35">
      <c r="A100" t="str">
        <f t="shared" si="6"/>
        <v>APR</v>
      </c>
      <c r="B100" t="str">
        <f t="shared" si="7"/>
        <v>20</v>
      </c>
      <c r="C100" t="str">
        <f t="shared" si="8"/>
        <v>2020/21</v>
      </c>
      <c r="D100" t="str">
        <f>"SC EY 215800"</f>
        <v>SC EY 215800</v>
      </c>
      <c r="E100" t="str">
        <f t="shared" si="9"/>
        <v>SC</v>
      </c>
      <c r="F100" t="s">
        <v>32</v>
      </c>
      <c r="G100" t="s">
        <v>30</v>
      </c>
      <c r="H100">
        <v>324</v>
      </c>
      <c r="I100" t="str">
        <f>"Sowood Preschool &amp; Community Association"</f>
        <v>Sowood Preschool &amp; Community Association</v>
      </c>
      <c r="J100" t="str">
        <f t="shared" si="11"/>
        <v>3/4 year old inclusion support (DSG) Grants And Subscriptions Supplies And Services D C A T C H Childrens Services Unit</v>
      </c>
    </row>
    <row r="101" spans="1:10" x14ac:dyDescent="0.35">
      <c r="A101" t="str">
        <f t="shared" si="6"/>
        <v>APR</v>
      </c>
      <c r="B101" t="str">
        <f t="shared" si="7"/>
        <v>20</v>
      </c>
      <c r="C101" t="str">
        <f t="shared" si="8"/>
        <v>2020/21</v>
      </c>
      <c r="D101" t="str">
        <f>"SC EY 215616"</f>
        <v>SC EY 215616</v>
      </c>
      <c r="E101" t="str">
        <f t="shared" si="9"/>
        <v>SC</v>
      </c>
      <c r="F101" t="s">
        <v>32</v>
      </c>
      <c r="G101" t="s">
        <v>30</v>
      </c>
      <c r="H101">
        <v>972</v>
      </c>
      <c r="I101" t="str">
        <f>"Siddal Children's Centre"</f>
        <v>Siddal Children's Centre</v>
      </c>
      <c r="J101" t="str">
        <f t="shared" si="11"/>
        <v>3/4 year old inclusion support (DSG) Grants And Subscriptions Supplies And Services D C A T C H Childrens Services Unit</v>
      </c>
    </row>
    <row r="102" spans="1:10" x14ac:dyDescent="0.35">
      <c r="A102" t="str">
        <f t="shared" si="6"/>
        <v>APR</v>
      </c>
      <c r="B102" t="str">
        <f t="shared" si="7"/>
        <v>20</v>
      </c>
      <c r="C102" t="str">
        <f t="shared" si="8"/>
        <v>2020/21</v>
      </c>
      <c r="D102" t="str">
        <f>"SC EY 215616"</f>
        <v>SC EY 215616</v>
      </c>
      <c r="E102" t="str">
        <f t="shared" si="9"/>
        <v>SC</v>
      </c>
      <c r="F102" t="s">
        <v>32</v>
      </c>
      <c r="G102" t="s">
        <v>30</v>
      </c>
      <c r="H102">
        <v>1620</v>
      </c>
      <c r="I102" t="str">
        <f>"Siddal Children's Centre"</f>
        <v>Siddal Children's Centre</v>
      </c>
      <c r="J102" t="str">
        <f t="shared" si="11"/>
        <v>3/4 year old inclusion support (DSG) Grants And Subscriptions Supplies And Services D C A T C H Childrens Services Unit</v>
      </c>
    </row>
    <row r="103" spans="1:10" x14ac:dyDescent="0.35">
      <c r="A103" t="str">
        <f t="shared" si="6"/>
        <v>APR</v>
      </c>
      <c r="B103" t="str">
        <f t="shared" si="7"/>
        <v>20</v>
      </c>
      <c r="C103" t="str">
        <f t="shared" si="8"/>
        <v>2020/21</v>
      </c>
      <c r="D103" t="str">
        <f>"SC EY 215616"</f>
        <v>SC EY 215616</v>
      </c>
      <c r="E103" t="str">
        <f t="shared" si="9"/>
        <v>SC</v>
      </c>
      <c r="F103" t="s">
        <v>32</v>
      </c>
      <c r="G103" t="s">
        <v>30</v>
      </c>
      <c r="H103">
        <v>432</v>
      </c>
      <c r="I103" t="str">
        <f>"Siddal Children's Centre"</f>
        <v>Siddal Children's Centre</v>
      </c>
      <c r="J103" t="str">
        <f t="shared" si="11"/>
        <v>3/4 year old inclusion support (DSG) Grants And Subscriptions Supplies And Services D C A T C H Childrens Services Unit</v>
      </c>
    </row>
    <row r="104" spans="1:10" x14ac:dyDescent="0.35">
      <c r="A104" t="str">
        <f t="shared" si="6"/>
        <v>APR</v>
      </c>
      <c r="B104" t="str">
        <f t="shared" si="7"/>
        <v>20</v>
      </c>
      <c r="C104" t="str">
        <f t="shared" si="8"/>
        <v>2020/21</v>
      </c>
      <c r="D104" t="str">
        <f>"SC EY 215616"</f>
        <v>SC EY 215616</v>
      </c>
      <c r="E104" t="str">
        <f t="shared" si="9"/>
        <v>SC</v>
      </c>
      <c r="F104" t="s">
        <v>32</v>
      </c>
      <c r="G104" t="s">
        <v>30</v>
      </c>
      <c r="H104">
        <v>1620</v>
      </c>
      <c r="I104" t="str">
        <f>"Siddal Children's Centre"</f>
        <v>Siddal Children's Centre</v>
      </c>
      <c r="J104" t="str">
        <f t="shared" si="11"/>
        <v>3/4 year old inclusion support (DSG) Grants And Subscriptions Supplies And Services D C A T C H Childrens Services Unit</v>
      </c>
    </row>
    <row r="105" spans="1:10" x14ac:dyDescent="0.35">
      <c r="A105" t="str">
        <f t="shared" si="6"/>
        <v>APR</v>
      </c>
      <c r="B105" t="str">
        <f t="shared" si="7"/>
        <v>20</v>
      </c>
      <c r="C105" t="str">
        <f t="shared" si="8"/>
        <v>2020/21</v>
      </c>
      <c r="D105" t="str">
        <f>"SC EY 215621"</f>
        <v>SC EY 215621</v>
      </c>
      <c r="E105" t="str">
        <f t="shared" si="9"/>
        <v>SC</v>
      </c>
      <c r="F105" t="s">
        <v>32</v>
      </c>
      <c r="G105" t="s">
        <v>30</v>
      </c>
      <c r="H105">
        <v>864</v>
      </c>
      <c r="I105" t="str">
        <f>"Sticky Fingers Playgroup"</f>
        <v>Sticky Fingers Playgroup</v>
      </c>
      <c r="J105" t="str">
        <f t="shared" si="11"/>
        <v>3/4 year old inclusion support (DSG) Grants And Subscriptions Supplies And Services D C A T C H Childrens Services Unit</v>
      </c>
    </row>
    <row r="106" spans="1:10" x14ac:dyDescent="0.35">
      <c r="A106" t="str">
        <f t="shared" si="6"/>
        <v>APR</v>
      </c>
      <c r="B106" t="str">
        <f t="shared" si="7"/>
        <v>20</v>
      </c>
      <c r="C106" t="str">
        <f t="shared" si="8"/>
        <v>2020/21</v>
      </c>
      <c r="D106" t="str">
        <f>"SC EY 215630"</f>
        <v>SC EY 215630</v>
      </c>
      <c r="E106" t="str">
        <f t="shared" si="9"/>
        <v>SC</v>
      </c>
      <c r="F106" t="s">
        <v>32</v>
      </c>
      <c r="G106" t="s">
        <v>30</v>
      </c>
      <c r="H106">
        <v>378</v>
      </c>
      <c r="I106" t="str">
        <f>"Todmorden Children's Centre"</f>
        <v>Todmorden Children's Centre</v>
      </c>
      <c r="J106" t="str">
        <f t="shared" si="11"/>
        <v>3/4 year old inclusion support (DSG) Grants And Subscriptions Supplies And Services D C A T C H Childrens Services Unit</v>
      </c>
    </row>
    <row r="107" spans="1:10" x14ac:dyDescent="0.35">
      <c r="A107" t="str">
        <f t="shared" si="6"/>
        <v>APR</v>
      </c>
      <c r="B107" t="str">
        <f t="shared" si="7"/>
        <v>20</v>
      </c>
      <c r="C107" t="str">
        <f t="shared" si="8"/>
        <v>2020/21</v>
      </c>
      <c r="D107" t="str">
        <f>"SC EY 215630"</f>
        <v>SC EY 215630</v>
      </c>
      <c r="E107" t="str">
        <f t="shared" si="9"/>
        <v>SC</v>
      </c>
      <c r="F107" t="s">
        <v>32</v>
      </c>
      <c r="G107" t="s">
        <v>30</v>
      </c>
      <c r="H107">
        <v>810</v>
      </c>
      <c r="I107" t="str">
        <f>"Todmorden Children's Centre"</f>
        <v>Todmorden Children's Centre</v>
      </c>
      <c r="J107" t="str">
        <f t="shared" si="11"/>
        <v>3/4 year old inclusion support (DSG) Grants And Subscriptions Supplies And Services D C A T C H Childrens Services Unit</v>
      </c>
    </row>
    <row r="108" spans="1:10" x14ac:dyDescent="0.35">
      <c r="A108" t="str">
        <f t="shared" si="6"/>
        <v>APR</v>
      </c>
      <c r="B108" t="str">
        <f t="shared" si="7"/>
        <v>20</v>
      </c>
      <c r="C108" t="str">
        <f t="shared" si="8"/>
        <v>2020/21</v>
      </c>
      <c r="D108" t="str">
        <f>"SC EY 215639"</f>
        <v>SC EY 215639</v>
      </c>
      <c r="E108" t="str">
        <f t="shared" si="9"/>
        <v>SC</v>
      </c>
      <c r="F108" t="s">
        <v>32</v>
      </c>
      <c r="G108" t="s">
        <v>30</v>
      </c>
      <c r="H108">
        <v>1620</v>
      </c>
      <c r="I108" t="str">
        <f>"Wellholme Children's Centre"</f>
        <v>Wellholme Children's Centre</v>
      </c>
      <c r="J108" t="str">
        <f t="shared" si="11"/>
        <v>3/4 year old inclusion support (DSG) Grants And Subscriptions Supplies And Services D C A T C H Childrens Services Unit</v>
      </c>
    </row>
    <row r="109" spans="1:10" x14ac:dyDescent="0.35">
      <c r="A109" t="str">
        <f t="shared" si="6"/>
        <v>APR</v>
      </c>
      <c r="B109" t="str">
        <f t="shared" si="7"/>
        <v>20</v>
      </c>
      <c r="C109" t="str">
        <f t="shared" si="8"/>
        <v>2020/21</v>
      </c>
      <c r="D109" t="str">
        <f>"SC EY 215639"</f>
        <v>SC EY 215639</v>
      </c>
      <c r="E109" t="str">
        <f t="shared" si="9"/>
        <v>SC</v>
      </c>
      <c r="F109" t="s">
        <v>32</v>
      </c>
      <c r="G109" t="s">
        <v>30</v>
      </c>
      <c r="H109">
        <v>810</v>
      </c>
      <c r="I109" t="str">
        <f>"Wellholme Children's Centre"</f>
        <v>Wellholme Children's Centre</v>
      </c>
      <c r="J109" t="str">
        <f t="shared" si="11"/>
        <v>3/4 year old inclusion support (DSG) Grants And Subscriptions Supplies And Services D C A T C H Childrens Services Unit</v>
      </c>
    </row>
    <row r="110" spans="1:10" x14ac:dyDescent="0.35">
      <c r="A110" t="str">
        <f t="shared" si="6"/>
        <v>APR</v>
      </c>
      <c r="B110" t="str">
        <f t="shared" si="7"/>
        <v>20</v>
      </c>
      <c r="C110" t="str">
        <f t="shared" si="8"/>
        <v>2020/21</v>
      </c>
      <c r="D110" t="str">
        <f>"SC EY 215639"</f>
        <v>SC EY 215639</v>
      </c>
      <c r="E110" t="str">
        <f t="shared" si="9"/>
        <v>SC</v>
      </c>
      <c r="F110" t="s">
        <v>32</v>
      </c>
      <c r="G110" t="s">
        <v>30</v>
      </c>
      <c r="H110">
        <v>2029.5</v>
      </c>
      <c r="I110" t="str">
        <f>"Wellholme Children's Centre"</f>
        <v>Wellholme Children's Centre</v>
      </c>
      <c r="J110" t="str">
        <f t="shared" si="11"/>
        <v>3/4 year old inclusion support (DSG) Grants And Subscriptions Supplies And Services D C A T C H Childrens Services Unit</v>
      </c>
    </row>
    <row r="111" spans="1:10" x14ac:dyDescent="0.35">
      <c r="A111" t="str">
        <f t="shared" si="6"/>
        <v>APR</v>
      </c>
      <c r="B111" t="str">
        <f t="shared" si="7"/>
        <v>20</v>
      </c>
      <c r="C111" t="str">
        <f t="shared" si="8"/>
        <v>2020/21</v>
      </c>
      <c r="D111" t="str">
        <f>"SC EY 215822"</f>
        <v>SC EY 215822</v>
      </c>
      <c r="E111" t="str">
        <f t="shared" si="9"/>
        <v>SC</v>
      </c>
      <c r="F111" t="s">
        <v>32</v>
      </c>
      <c r="G111" t="s">
        <v>30</v>
      </c>
      <c r="H111">
        <v>615</v>
      </c>
      <c r="I111" t="str">
        <f>"Siddal Children's Centre"</f>
        <v>Siddal Children's Centre</v>
      </c>
      <c r="J111" t="str">
        <f>"D A F Other Committees Of The Council Agency And Contracted Services Nursery Grant Funding Childrens Services Unit"</f>
        <v>D A F Other Committees Of The Council Agency And Contracted Services Nursery Grant Funding Childrens Services Unit</v>
      </c>
    </row>
    <row r="112" spans="1:10" x14ac:dyDescent="0.35">
      <c r="A112" t="str">
        <f t="shared" si="6"/>
        <v>APR</v>
      </c>
      <c r="B112" t="str">
        <f t="shared" si="7"/>
        <v>20</v>
      </c>
      <c r="C112" t="str">
        <f t="shared" si="8"/>
        <v>2020/21</v>
      </c>
      <c r="E112" t="str">
        <f t="shared" si="9"/>
        <v/>
      </c>
      <c r="F112" t="s">
        <v>32</v>
      </c>
      <c r="G112" t="s">
        <v>30</v>
      </c>
      <c r="H112">
        <v>25111.8</v>
      </c>
      <c r="I112" t="str">
        <f>"Children's Corner Pre-School Committee"</f>
        <v>Children's Corner Pre-School Committee</v>
      </c>
      <c r="J112" t="str">
        <f t="shared" ref="J112:J129" si="14">"3 Year Old Funding Other Committees Other Committees Of The Council Agency And Contracted Services Nursery Grant Funding Childrens Services Unit"</f>
        <v>3 Year Old Funding Other Committees Other Committees Of The Council Agency And Contracted Services Nursery Grant Funding Childrens Services Unit</v>
      </c>
    </row>
    <row r="113" spans="1:10" x14ac:dyDescent="0.35">
      <c r="A113" t="str">
        <f t="shared" si="6"/>
        <v>APR</v>
      </c>
      <c r="B113" t="str">
        <f t="shared" si="7"/>
        <v>20</v>
      </c>
      <c r="C113" t="str">
        <f t="shared" si="8"/>
        <v>2020/21</v>
      </c>
      <c r="E113" t="str">
        <f t="shared" si="9"/>
        <v/>
      </c>
      <c r="F113" t="s">
        <v>32</v>
      </c>
      <c r="G113" t="s">
        <v>30</v>
      </c>
      <c r="H113">
        <v>11877.84</v>
      </c>
      <c r="I113" t="str">
        <f>"Calder Valley Steiner School"</f>
        <v>Calder Valley Steiner School</v>
      </c>
      <c r="J113" t="str">
        <f t="shared" si="14"/>
        <v>3 Year Old Funding Other Committees Other Committees Of The Council Agency And Contracted Services Nursery Grant Funding Childrens Services Unit</v>
      </c>
    </row>
    <row r="114" spans="1:10" x14ac:dyDescent="0.35">
      <c r="A114" t="str">
        <f t="shared" si="6"/>
        <v>APR</v>
      </c>
      <c r="B114" t="str">
        <f t="shared" si="7"/>
        <v>20</v>
      </c>
      <c r="C114" t="str">
        <f t="shared" si="8"/>
        <v>2020/21</v>
      </c>
      <c r="E114" t="str">
        <f t="shared" si="9"/>
        <v/>
      </c>
      <c r="F114" t="s">
        <v>32</v>
      </c>
      <c r="G114" t="s">
        <v>30</v>
      </c>
      <c r="H114">
        <v>13838.22</v>
      </c>
      <c r="I114" t="str">
        <f>"Colden Pre-School Playgroup"</f>
        <v>Colden Pre-School Playgroup</v>
      </c>
      <c r="J114" t="str">
        <f t="shared" si="14"/>
        <v>3 Year Old Funding Other Committees Other Committees Of The Council Agency And Contracted Services Nursery Grant Funding Childrens Services Unit</v>
      </c>
    </row>
    <row r="115" spans="1:10" x14ac:dyDescent="0.35">
      <c r="A115" t="str">
        <f t="shared" si="6"/>
        <v>APR</v>
      </c>
      <c r="B115" t="str">
        <f t="shared" si="7"/>
        <v>20</v>
      </c>
      <c r="C115" t="str">
        <f t="shared" si="8"/>
        <v>2020/21</v>
      </c>
      <c r="E115" t="str">
        <f t="shared" si="9"/>
        <v/>
      </c>
      <c r="F115" t="s">
        <v>32</v>
      </c>
      <c r="G115" t="s">
        <v>30</v>
      </c>
      <c r="H115">
        <v>50846.04</v>
      </c>
      <c r="I115" t="str">
        <f>"Creations Community Childrens Centre"</f>
        <v>Creations Community Childrens Centre</v>
      </c>
      <c r="J115" t="str">
        <f t="shared" si="14"/>
        <v>3 Year Old Funding Other Committees Other Committees Of The Council Agency And Contracted Services Nursery Grant Funding Childrens Services Unit</v>
      </c>
    </row>
    <row r="116" spans="1:10" x14ac:dyDescent="0.35">
      <c r="A116" t="str">
        <f t="shared" si="6"/>
        <v>APR</v>
      </c>
      <c r="B116" t="str">
        <f t="shared" si="7"/>
        <v>20</v>
      </c>
      <c r="C116" t="str">
        <f t="shared" si="8"/>
        <v>2020/21</v>
      </c>
      <c r="E116" t="str">
        <f t="shared" si="9"/>
        <v/>
      </c>
      <c r="F116" t="s">
        <v>32</v>
      </c>
      <c r="G116" t="s">
        <v>30</v>
      </c>
      <c r="H116">
        <v>31463.279999999999</v>
      </c>
      <c r="I116" t="str">
        <f>"Crossley Mill Nursery"</f>
        <v>Crossley Mill Nursery</v>
      </c>
      <c r="J116" t="str">
        <f t="shared" si="14"/>
        <v>3 Year Old Funding Other Committees Other Committees Of The Council Agency And Contracted Services Nursery Grant Funding Childrens Services Unit</v>
      </c>
    </row>
    <row r="117" spans="1:10" x14ac:dyDescent="0.35">
      <c r="A117" t="str">
        <f t="shared" si="6"/>
        <v>APR</v>
      </c>
      <c r="B117" t="str">
        <f t="shared" si="7"/>
        <v>20</v>
      </c>
      <c r="C117" t="str">
        <f t="shared" si="8"/>
        <v>2020/21</v>
      </c>
      <c r="E117" t="str">
        <f t="shared" si="9"/>
        <v/>
      </c>
      <c r="F117" t="s">
        <v>32</v>
      </c>
      <c r="G117" t="s">
        <v>30</v>
      </c>
      <c r="H117">
        <v>61224.3</v>
      </c>
      <c r="I117" t="str">
        <f>"Eureka Nursery"</f>
        <v>Eureka Nursery</v>
      </c>
      <c r="J117" t="str">
        <f t="shared" si="14"/>
        <v>3 Year Old Funding Other Committees Other Committees Of The Council Agency And Contracted Services Nursery Grant Funding Childrens Services Unit</v>
      </c>
    </row>
    <row r="118" spans="1:10" x14ac:dyDescent="0.35">
      <c r="A118" t="str">
        <f t="shared" si="6"/>
        <v>APR</v>
      </c>
      <c r="B118" t="str">
        <f t="shared" si="7"/>
        <v>20</v>
      </c>
      <c r="C118" t="str">
        <f t="shared" si="8"/>
        <v>2020/21</v>
      </c>
      <c r="E118" t="str">
        <f t="shared" si="9"/>
        <v/>
      </c>
      <c r="F118" t="s">
        <v>32</v>
      </c>
      <c r="G118" t="s">
        <v>30</v>
      </c>
      <c r="H118">
        <v>23436</v>
      </c>
      <c r="I118" t="str">
        <f>"Halifax Opportunities Trust"</f>
        <v>Halifax Opportunities Trust</v>
      </c>
      <c r="J118" t="str">
        <f t="shared" si="14"/>
        <v>3 Year Old Funding Other Committees Other Committees Of The Council Agency And Contracted Services Nursery Grant Funding Childrens Services Unit</v>
      </c>
    </row>
    <row r="119" spans="1:10" x14ac:dyDescent="0.35">
      <c r="A119" t="str">
        <f t="shared" si="6"/>
        <v>APR</v>
      </c>
      <c r="B119" t="str">
        <f t="shared" si="7"/>
        <v>20</v>
      </c>
      <c r="C119" t="str">
        <f t="shared" si="8"/>
        <v>2020/21</v>
      </c>
      <c r="E119" t="str">
        <f t="shared" si="9"/>
        <v/>
      </c>
      <c r="F119" t="s">
        <v>32</v>
      </c>
      <c r="G119" t="s">
        <v>30</v>
      </c>
      <c r="H119">
        <v>77795.05</v>
      </c>
      <c r="I119" t="str">
        <f>"Innovations Children's Centre"</f>
        <v>Innovations Children's Centre</v>
      </c>
      <c r="J119" t="str">
        <f t="shared" si="14"/>
        <v>3 Year Old Funding Other Committees Other Committees Of The Council Agency And Contracted Services Nursery Grant Funding Childrens Services Unit</v>
      </c>
    </row>
    <row r="120" spans="1:10" x14ac:dyDescent="0.35">
      <c r="A120" t="str">
        <f t="shared" si="6"/>
        <v>APR</v>
      </c>
      <c r="B120" t="str">
        <f t="shared" si="7"/>
        <v>20</v>
      </c>
      <c r="C120" t="str">
        <f t="shared" si="8"/>
        <v>2020/21</v>
      </c>
      <c r="E120" t="str">
        <f t="shared" si="9"/>
        <v/>
      </c>
      <c r="F120" t="s">
        <v>32</v>
      </c>
      <c r="G120" t="s">
        <v>30</v>
      </c>
      <c r="H120">
        <v>67427.03</v>
      </c>
      <c r="I120" t="str">
        <f>"Jubilee Children's Centre"</f>
        <v>Jubilee Children's Centre</v>
      </c>
      <c r="J120" t="str">
        <f t="shared" si="14"/>
        <v>3 Year Old Funding Other Committees Other Committees Of The Council Agency And Contracted Services Nursery Grant Funding Childrens Services Unit</v>
      </c>
    </row>
    <row r="121" spans="1:10" x14ac:dyDescent="0.35">
      <c r="A121" t="str">
        <f t="shared" si="6"/>
        <v>APR</v>
      </c>
      <c r="B121" t="str">
        <f t="shared" si="7"/>
        <v>20</v>
      </c>
      <c r="C121" t="str">
        <f t="shared" si="8"/>
        <v>2020/21</v>
      </c>
      <c r="E121" t="str">
        <f t="shared" si="9"/>
        <v/>
      </c>
      <c r="F121" t="s">
        <v>32</v>
      </c>
      <c r="G121" t="s">
        <v>30</v>
      </c>
      <c r="H121">
        <v>44533.8</v>
      </c>
      <c r="I121" t="str">
        <f>"Ash Green Childrens Centre"</f>
        <v>Ash Green Childrens Centre</v>
      </c>
      <c r="J121" t="str">
        <f t="shared" si="14"/>
        <v>3 Year Old Funding Other Committees Other Committees Of The Council Agency And Contracted Services Nursery Grant Funding Childrens Services Unit</v>
      </c>
    </row>
    <row r="122" spans="1:10" x14ac:dyDescent="0.35">
      <c r="A122" t="str">
        <f t="shared" si="6"/>
        <v>APR</v>
      </c>
      <c r="B122" t="str">
        <f t="shared" si="7"/>
        <v>20</v>
      </c>
      <c r="C122" t="str">
        <f t="shared" si="8"/>
        <v>2020/21</v>
      </c>
      <c r="E122" t="str">
        <f t="shared" si="9"/>
        <v/>
      </c>
      <c r="F122" t="s">
        <v>32</v>
      </c>
      <c r="G122" t="s">
        <v>30</v>
      </c>
      <c r="H122">
        <v>54172.08</v>
      </c>
      <c r="I122" t="str">
        <f>"Kevin Pearce Childrens Centre"</f>
        <v>Kevin Pearce Childrens Centre</v>
      </c>
      <c r="J122" t="str">
        <f t="shared" si="14"/>
        <v>3 Year Old Funding Other Committees Other Committees Of The Council Agency And Contracted Services Nursery Grant Funding Childrens Services Unit</v>
      </c>
    </row>
    <row r="123" spans="1:10" x14ac:dyDescent="0.35">
      <c r="A123" t="str">
        <f t="shared" si="6"/>
        <v>APR</v>
      </c>
      <c r="B123" t="str">
        <f t="shared" si="7"/>
        <v>20</v>
      </c>
      <c r="C123" t="str">
        <f t="shared" si="8"/>
        <v>2020/21</v>
      </c>
      <c r="E123" t="str">
        <f t="shared" si="9"/>
        <v/>
      </c>
      <c r="F123" t="s">
        <v>32</v>
      </c>
      <c r="G123" t="s">
        <v>30</v>
      </c>
      <c r="H123">
        <v>24461.55</v>
      </c>
      <c r="I123" t="str">
        <f>"St Augustines Centre"</f>
        <v>St Augustines Centre</v>
      </c>
      <c r="J123" t="str">
        <f t="shared" si="14"/>
        <v>3 Year Old Funding Other Committees Other Committees Of The Council Agency And Contracted Services Nursery Grant Funding Childrens Services Unit</v>
      </c>
    </row>
    <row r="124" spans="1:10" x14ac:dyDescent="0.35">
      <c r="A124" t="str">
        <f t="shared" si="6"/>
        <v>APR</v>
      </c>
      <c r="B124" t="str">
        <f t="shared" si="7"/>
        <v>20</v>
      </c>
      <c r="C124" t="str">
        <f t="shared" si="8"/>
        <v>2020/21</v>
      </c>
      <c r="E124" t="str">
        <f t="shared" si="9"/>
        <v/>
      </c>
      <c r="F124" t="s">
        <v>32</v>
      </c>
      <c r="G124" t="s">
        <v>30</v>
      </c>
      <c r="H124">
        <v>18546.66</v>
      </c>
      <c r="I124" t="str">
        <f>"Sowood Preschool &amp; Community Association"</f>
        <v>Sowood Preschool &amp; Community Association</v>
      </c>
      <c r="J124" t="str">
        <f t="shared" si="14"/>
        <v>3 Year Old Funding Other Committees Other Committees Of The Council Agency And Contracted Services Nursery Grant Funding Childrens Services Unit</v>
      </c>
    </row>
    <row r="125" spans="1:10" x14ac:dyDescent="0.35">
      <c r="A125" t="str">
        <f t="shared" si="6"/>
        <v>APR</v>
      </c>
      <c r="B125" t="str">
        <f t="shared" si="7"/>
        <v>20</v>
      </c>
      <c r="C125" t="str">
        <f t="shared" si="8"/>
        <v>2020/21</v>
      </c>
      <c r="E125" t="str">
        <f t="shared" si="9"/>
        <v/>
      </c>
      <c r="F125" t="s">
        <v>32</v>
      </c>
      <c r="G125" t="s">
        <v>30</v>
      </c>
      <c r="H125">
        <v>34227.9</v>
      </c>
      <c r="I125" t="str">
        <f>"Siddal Children's Centre"</f>
        <v>Siddal Children's Centre</v>
      </c>
      <c r="J125" t="str">
        <f t="shared" si="14"/>
        <v>3 Year Old Funding Other Committees Other Committees Of The Council Agency And Contracted Services Nursery Grant Funding Childrens Services Unit</v>
      </c>
    </row>
    <row r="126" spans="1:10" x14ac:dyDescent="0.35">
      <c r="A126" t="str">
        <f t="shared" si="6"/>
        <v>APR</v>
      </c>
      <c r="B126" t="str">
        <f t="shared" si="7"/>
        <v>20</v>
      </c>
      <c r="C126" t="str">
        <f t="shared" si="8"/>
        <v>2020/21</v>
      </c>
      <c r="E126" t="str">
        <f t="shared" si="9"/>
        <v/>
      </c>
      <c r="F126" t="s">
        <v>32</v>
      </c>
      <c r="G126" t="s">
        <v>30</v>
      </c>
      <c r="H126">
        <v>29403.72</v>
      </c>
      <c r="I126" t="str">
        <f>"Sticky Fingers Playgroup"</f>
        <v>Sticky Fingers Playgroup</v>
      </c>
      <c r="J126" t="str">
        <f t="shared" si="14"/>
        <v>3 Year Old Funding Other Committees Other Committees Of The Council Agency And Contracted Services Nursery Grant Funding Childrens Services Unit</v>
      </c>
    </row>
    <row r="127" spans="1:10" x14ac:dyDescent="0.35">
      <c r="A127" t="str">
        <f t="shared" si="6"/>
        <v>APR</v>
      </c>
      <c r="B127" t="str">
        <f t="shared" si="7"/>
        <v>20</v>
      </c>
      <c r="C127" t="str">
        <f t="shared" si="8"/>
        <v>2020/21</v>
      </c>
      <c r="E127" t="str">
        <f t="shared" si="9"/>
        <v/>
      </c>
      <c r="F127" t="s">
        <v>32</v>
      </c>
      <c r="G127" t="s">
        <v>30</v>
      </c>
      <c r="H127">
        <v>27673.200000000001</v>
      </c>
      <c r="I127" t="str">
        <f>"Todmorden Children's Centre"</f>
        <v>Todmorden Children's Centre</v>
      </c>
      <c r="J127" t="str">
        <f t="shared" si="14"/>
        <v>3 Year Old Funding Other Committees Other Committees Of The Council Agency And Contracted Services Nursery Grant Funding Childrens Services Unit</v>
      </c>
    </row>
    <row r="128" spans="1:10" x14ac:dyDescent="0.35">
      <c r="A128" t="str">
        <f t="shared" si="6"/>
        <v>APR</v>
      </c>
      <c r="B128" t="str">
        <f t="shared" si="7"/>
        <v>20</v>
      </c>
      <c r="C128" t="str">
        <f t="shared" si="8"/>
        <v>2020/21</v>
      </c>
      <c r="E128" t="str">
        <f t="shared" si="9"/>
        <v/>
      </c>
      <c r="F128" t="s">
        <v>32</v>
      </c>
      <c r="G128" t="s">
        <v>30</v>
      </c>
      <c r="H128">
        <v>9000</v>
      </c>
      <c r="I128" t="str">
        <f>"Hopscotch Tuel Lane Ltd"</f>
        <v>Hopscotch Tuel Lane Ltd</v>
      </c>
      <c r="J128" t="str">
        <f t="shared" si="14"/>
        <v>3 Year Old Funding Other Committees Other Committees Of The Council Agency And Contracted Services Nursery Grant Funding Childrens Services Unit</v>
      </c>
    </row>
    <row r="129" spans="1:10" x14ac:dyDescent="0.35">
      <c r="A129" t="str">
        <f t="shared" si="6"/>
        <v>APR</v>
      </c>
      <c r="B129" t="str">
        <f t="shared" si="7"/>
        <v>20</v>
      </c>
      <c r="C129" t="str">
        <f t="shared" si="8"/>
        <v>2020/21</v>
      </c>
      <c r="E129" t="str">
        <f t="shared" si="9"/>
        <v/>
      </c>
      <c r="F129" t="s">
        <v>32</v>
      </c>
      <c r="G129" t="s">
        <v>30</v>
      </c>
      <c r="H129">
        <v>48948.84</v>
      </c>
      <c r="I129" t="str">
        <f>"Wellholme Children's Centre"</f>
        <v>Wellholme Children's Centre</v>
      </c>
      <c r="J129" t="str">
        <f t="shared" si="14"/>
        <v>3 Year Old Funding Other Committees Other Committees Of The Council Agency And Contracted Services Nursery Grant Funding Childrens Services Unit</v>
      </c>
    </row>
    <row r="130" spans="1:10" x14ac:dyDescent="0.35">
      <c r="A130" t="str">
        <f t="shared" ref="A130:A193" si="15">"APR"</f>
        <v>APR</v>
      </c>
      <c r="B130" t="str">
        <f t="shared" ref="B130:B193" si="16">"20"</f>
        <v>20</v>
      </c>
      <c r="C130" t="str">
        <f t="shared" ref="C130:C193" si="17">"2020/21"</f>
        <v>2020/21</v>
      </c>
      <c r="D130" t="str">
        <f>"SC PF 215529"</f>
        <v>SC PF 215529</v>
      </c>
      <c r="E130" t="str">
        <f t="shared" ref="E130:E193" si="18">LEFT(D130,2)</f>
        <v>SC</v>
      </c>
      <c r="F130" t="s">
        <v>33</v>
      </c>
      <c r="G130" t="s">
        <v>30</v>
      </c>
      <c r="H130">
        <v>3139.8</v>
      </c>
      <c r="I130" t="str">
        <f>"The Childrens Family Trust"</f>
        <v>The Childrens Family Trust</v>
      </c>
      <c r="J130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31" spans="1:10" x14ac:dyDescent="0.35">
      <c r="A131" t="str">
        <f t="shared" si="15"/>
        <v>APR</v>
      </c>
      <c r="B131" t="str">
        <f t="shared" si="16"/>
        <v>20</v>
      </c>
      <c r="C131" t="str">
        <f t="shared" si="17"/>
        <v>2020/21</v>
      </c>
      <c r="D131" t="str">
        <f>"SC PF 215701"</f>
        <v>SC PF 215701</v>
      </c>
      <c r="E131" t="str">
        <f t="shared" si="18"/>
        <v>SC</v>
      </c>
      <c r="F131" t="s">
        <v>33</v>
      </c>
      <c r="G131" t="s">
        <v>30</v>
      </c>
      <c r="H131">
        <v>3125.7</v>
      </c>
      <c r="I131" t="str">
        <f>"The Childrens Family Trust"</f>
        <v>The Childrens Family Trust</v>
      </c>
      <c r="J131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32" spans="1:10" x14ac:dyDescent="0.35">
      <c r="A132" t="str">
        <f t="shared" si="15"/>
        <v>APR</v>
      </c>
      <c r="B132" t="str">
        <f t="shared" si="16"/>
        <v>20</v>
      </c>
      <c r="C132" t="str">
        <f t="shared" si="17"/>
        <v>2020/21</v>
      </c>
      <c r="D132" t="str">
        <f>"PS HS 025665"</f>
        <v>PS HS 025665</v>
      </c>
      <c r="E132" t="str">
        <f t="shared" si="18"/>
        <v>PS</v>
      </c>
      <c r="F132" t="s">
        <v>34</v>
      </c>
      <c r="G132" t="s">
        <v>20</v>
      </c>
      <c r="H132">
        <v>93.4</v>
      </c>
      <c r="I132" t="str">
        <f>"Elsie Whiteley Innovation Centre Ltd"</f>
        <v>Elsie Whiteley Innovation Centre Ltd</v>
      </c>
      <c r="J132" t="str">
        <f>"Hire of Rooms (Schools) Rent And Rates Premises And Related Expenses Health &amp; Safety Human Resources"</f>
        <v>Hire of Rooms (Schools) Rent And Rates Premises And Related Expenses Health &amp; Safety Human Resources</v>
      </c>
    </row>
    <row r="133" spans="1:10" x14ac:dyDescent="0.35">
      <c r="A133" t="str">
        <f t="shared" si="15"/>
        <v>APR</v>
      </c>
      <c r="B133" t="str">
        <f t="shared" si="16"/>
        <v>20</v>
      </c>
      <c r="C133" t="str">
        <f t="shared" si="17"/>
        <v>2020/21</v>
      </c>
      <c r="D133" t="str">
        <f>"PS OD 025446"</f>
        <v>PS OD 025446</v>
      </c>
      <c r="E133" t="str">
        <f t="shared" si="18"/>
        <v>PS</v>
      </c>
      <c r="F133" t="s">
        <v>34</v>
      </c>
      <c r="G133" t="s">
        <v>20</v>
      </c>
      <c r="H133">
        <v>2500</v>
      </c>
      <c r="I133" t="str">
        <f>"Stonewall Equality Ltd"</f>
        <v>Stonewall Equality Ltd</v>
      </c>
      <c r="J133" t="str">
        <f>"Diversity &amp; Inclusion Expenses Employees And Related Expenses Workforce Organisation Development Human Resources"</f>
        <v>Diversity &amp; Inclusion Expenses Employees And Related Expenses Workforce Organisation Development Human Resources</v>
      </c>
    </row>
    <row r="134" spans="1:10" x14ac:dyDescent="0.35">
      <c r="A134" t="str">
        <f t="shared" si="15"/>
        <v>APR</v>
      </c>
      <c r="B134" t="str">
        <f t="shared" si="16"/>
        <v>20</v>
      </c>
      <c r="C134" t="str">
        <f t="shared" si="17"/>
        <v>2020/21</v>
      </c>
      <c r="D134" t="str">
        <f>"PS OD 025730"</f>
        <v>PS OD 025730</v>
      </c>
      <c r="E134" t="str">
        <f t="shared" si="18"/>
        <v>PS</v>
      </c>
      <c r="F134" t="s">
        <v>34</v>
      </c>
      <c r="G134" t="s">
        <v>20</v>
      </c>
      <c r="H134">
        <v>110</v>
      </c>
      <c r="I134" t="str">
        <f>"Hebden Bridge Community Association"</f>
        <v>Hebden Bridge Community Association</v>
      </c>
      <c r="J134" t="s">
        <v>7</v>
      </c>
    </row>
    <row r="135" spans="1:10" x14ac:dyDescent="0.35">
      <c r="A135" t="str">
        <f t="shared" si="15"/>
        <v>APR</v>
      </c>
      <c r="B135" t="str">
        <f t="shared" si="16"/>
        <v>20</v>
      </c>
      <c r="C135" t="str">
        <f t="shared" si="17"/>
        <v>2020/21</v>
      </c>
      <c r="D135" t="str">
        <f>"SS LD 113098"</f>
        <v>SS LD 113098</v>
      </c>
      <c r="E135" t="str">
        <f t="shared" si="18"/>
        <v>SS</v>
      </c>
      <c r="F135" t="s">
        <v>25</v>
      </c>
      <c r="G135" t="s">
        <v>22</v>
      </c>
      <c r="H135">
        <v>595</v>
      </c>
      <c r="I135" t="str">
        <f>"Learning Disability England"</f>
        <v>Learning Disability England</v>
      </c>
      <c r="J135" t="str">
        <f>"Obsolete (LD England sub now code: 88094709) Grants And Subscriptions Supplies And Services Operational Mgmt (Personalised Long Term Support) Ad"</f>
        <v>Obsolete (LD England sub now code: 88094709) Grants And Subscriptions Supplies And Services Operational Mgmt (Personalised Long Term Support) Ad</v>
      </c>
    </row>
    <row r="136" spans="1:10" x14ac:dyDescent="0.35">
      <c r="A136" t="str">
        <f t="shared" si="15"/>
        <v>APR</v>
      </c>
      <c r="B136" t="str">
        <f t="shared" si="16"/>
        <v>20</v>
      </c>
      <c r="C136" t="str">
        <f t="shared" si="17"/>
        <v>2020/21</v>
      </c>
      <c r="D136" t="str">
        <f>"SS CO 112753"</f>
        <v>SS CO 112753</v>
      </c>
      <c r="E136" t="str">
        <f t="shared" si="18"/>
        <v>SS</v>
      </c>
      <c r="F136" t="s">
        <v>25</v>
      </c>
      <c r="G136" t="s">
        <v>22</v>
      </c>
      <c r="H136">
        <v>26250</v>
      </c>
      <c r="I136" t="str">
        <f>"Calderdale Smartmove"</f>
        <v>Calderdale Smartmove</v>
      </c>
      <c r="J136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137" spans="1:10" x14ac:dyDescent="0.35">
      <c r="A137" t="str">
        <f t="shared" si="15"/>
        <v>APR</v>
      </c>
      <c r="B137" t="str">
        <f t="shared" si="16"/>
        <v>20</v>
      </c>
      <c r="C137" t="str">
        <f t="shared" si="17"/>
        <v>2020/21</v>
      </c>
      <c r="D137" t="str">
        <f>"SS SL 113142"</f>
        <v>SS SL 113142</v>
      </c>
      <c r="E137" t="str">
        <f t="shared" si="18"/>
        <v>SS</v>
      </c>
      <c r="F137" t="s">
        <v>25</v>
      </c>
      <c r="G137" t="s">
        <v>22</v>
      </c>
      <c r="H137">
        <v>7403.19</v>
      </c>
      <c r="I137" t="str">
        <f t="shared" ref="I137:I148" si="19">"Mencap Northern Division"</f>
        <v>Mencap Northern Division</v>
      </c>
      <c r="J137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138" spans="1:10" x14ac:dyDescent="0.35">
      <c r="A138" t="str">
        <f t="shared" si="15"/>
        <v>APR</v>
      </c>
      <c r="B138" t="str">
        <f t="shared" si="16"/>
        <v>20</v>
      </c>
      <c r="C138" t="str">
        <f t="shared" si="17"/>
        <v>2020/21</v>
      </c>
      <c r="D138" t="str">
        <f>"SS SL 113419"</f>
        <v>SS SL 113419</v>
      </c>
      <c r="E138" t="str">
        <f t="shared" si="18"/>
        <v>SS</v>
      </c>
      <c r="F138" t="s">
        <v>25</v>
      </c>
      <c r="G138" t="s">
        <v>22</v>
      </c>
      <c r="H138">
        <v>72.900000000000006</v>
      </c>
      <c r="I138" t="str">
        <f t="shared" si="19"/>
        <v>Mencap Northern Division</v>
      </c>
      <c r="J138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139" spans="1:10" x14ac:dyDescent="0.35">
      <c r="A139" t="str">
        <f t="shared" si="15"/>
        <v>APR</v>
      </c>
      <c r="B139" t="str">
        <f t="shared" si="16"/>
        <v>20</v>
      </c>
      <c r="C139" t="str">
        <f t="shared" si="17"/>
        <v>2020/21</v>
      </c>
      <c r="D139" t="str">
        <f>"SS SL 113419"</f>
        <v>SS SL 113419</v>
      </c>
      <c r="E139" t="str">
        <f t="shared" si="18"/>
        <v>SS</v>
      </c>
      <c r="F139" t="s">
        <v>25</v>
      </c>
      <c r="G139" t="s">
        <v>22</v>
      </c>
      <c r="H139">
        <v>104.22</v>
      </c>
      <c r="I139" t="str">
        <f t="shared" si="19"/>
        <v>Mencap Northern Division</v>
      </c>
      <c r="J139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140" spans="1:10" x14ac:dyDescent="0.35">
      <c r="A140" t="str">
        <f t="shared" si="15"/>
        <v>APR</v>
      </c>
      <c r="B140" t="str">
        <f t="shared" si="16"/>
        <v>20</v>
      </c>
      <c r="C140" t="str">
        <f t="shared" si="17"/>
        <v>2020/21</v>
      </c>
      <c r="D140" t="str">
        <f>"SS SL 113462"</f>
        <v>SS SL 113462</v>
      </c>
      <c r="E140" t="str">
        <f t="shared" si="18"/>
        <v>SS</v>
      </c>
      <c r="F140" t="s">
        <v>25</v>
      </c>
      <c r="G140" t="s">
        <v>22</v>
      </c>
      <c r="H140">
        <v>7403.19</v>
      </c>
      <c r="I140" t="str">
        <f t="shared" si="19"/>
        <v>Mencap Northern Division</v>
      </c>
      <c r="J140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141" spans="1:10" x14ac:dyDescent="0.35">
      <c r="A141" t="str">
        <f t="shared" si="15"/>
        <v>APR</v>
      </c>
      <c r="B141" t="str">
        <f t="shared" si="16"/>
        <v>20</v>
      </c>
      <c r="C141" t="str">
        <f t="shared" si="17"/>
        <v>2020/21</v>
      </c>
      <c r="E141" t="str">
        <f t="shared" si="18"/>
        <v/>
      </c>
      <c r="F141" t="s">
        <v>25</v>
      </c>
      <c r="G141" t="s">
        <v>22</v>
      </c>
      <c r="H141">
        <v>-4104.84</v>
      </c>
      <c r="I141" t="str">
        <f t="shared" si="19"/>
        <v>Mencap Northern Division</v>
      </c>
      <c r="J141" t="str">
        <f t="shared" ref="J141:J148" si="20"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142" spans="1:10" x14ac:dyDescent="0.35">
      <c r="A142" t="str">
        <f t="shared" si="15"/>
        <v>APR</v>
      </c>
      <c r="B142" t="str">
        <f t="shared" si="16"/>
        <v>20</v>
      </c>
      <c r="C142" t="str">
        <f t="shared" si="17"/>
        <v>2020/21</v>
      </c>
      <c r="D142" t="str">
        <f>"SS SL 113142"</f>
        <v>SS SL 113142</v>
      </c>
      <c r="E142" t="str">
        <f t="shared" si="18"/>
        <v>SS</v>
      </c>
      <c r="F142" t="s">
        <v>25</v>
      </c>
      <c r="G142" t="s">
        <v>22</v>
      </c>
      <c r="H142">
        <v>11514.4</v>
      </c>
      <c r="I142" t="str">
        <f t="shared" si="19"/>
        <v>Mencap Northern Division</v>
      </c>
      <c r="J142" t="str">
        <f t="shared" si="20"/>
        <v>Forest House (Mencap) Voluntary Associations Agency And Contracted Services Supported Living Adult Health &amp; Social Care</v>
      </c>
    </row>
    <row r="143" spans="1:10" x14ac:dyDescent="0.35">
      <c r="A143" t="str">
        <f t="shared" si="15"/>
        <v>APR</v>
      </c>
      <c r="B143" t="str">
        <f t="shared" si="16"/>
        <v>20</v>
      </c>
      <c r="C143" t="str">
        <f t="shared" si="17"/>
        <v>2020/21</v>
      </c>
      <c r="D143" t="str">
        <f>"SS SL 109015"</f>
        <v>SS SL 109015</v>
      </c>
      <c r="E143" t="str">
        <f t="shared" si="18"/>
        <v>SS</v>
      </c>
      <c r="F143" t="s">
        <v>25</v>
      </c>
      <c r="G143" t="s">
        <v>22</v>
      </c>
      <c r="H143">
        <v>4104.84</v>
      </c>
      <c r="I143" t="str">
        <f t="shared" si="19"/>
        <v>Mencap Northern Division</v>
      </c>
      <c r="J143" t="str">
        <f t="shared" si="20"/>
        <v>Forest House (Mencap) Voluntary Associations Agency And Contracted Services Supported Living Adult Health &amp; Social Care</v>
      </c>
    </row>
    <row r="144" spans="1:10" x14ac:dyDescent="0.35">
      <c r="A144" t="str">
        <f t="shared" si="15"/>
        <v>APR</v>
      </c>
      <c r="B144" t="str">
        <f t="shared" si="16"/>
        <v>20</v>
      </c>
      <c r="C144" t="str">
        <f t="shared" si="17"/>
        <v>2020/21</v>
      </c>
      <c r="D144" t="str">
        <f>"SS SL 113419"</f>
        <v>SS SL 113419</v>
      </c>
      <c r="E144" t="str">
        <f t="shared" si="18"/>
        <v>SS</v>
      </c>
      <c r="F144" t="s">
        <v>25</v>
      </c>
      <c r="G144" t="s">
        <v>22</v>
      </c>
      <c r="H144">
        <v>88.56</v>
      </c>
      <c r="I144" t="str">
        <f t="shared" si="19"/>
        <v>Mencap Northern Division</v>
      </c>
      <c r="J144" t="str">
        <f t="shared" si="20"/>
        <v>Forest House (Mencap) Voluntary Associations Agency And Contracted Services Supported Living Adult Health &amp; Social Care</v>
      </c>
    </row>
    <row r="145" spans="1:10" x14ac:dyDescent="0.35">
      <c r="A145" t="str">
        <f t="shared" si="15"/>
        <v>APR</v>
      </c>
      <c r="B145" t="str">
        <f t="shared" si="16"/>
        <v>20</v>
      </c>
      <c r="C145" t="str">
        <f t="shared" si="17"/>
        <v>2020/21</v>
      </c>
      <c r="D145" t="str">
        <f>"SS SL 113419"</f>
        <v>SS SL 113419</v>
      </c>
      <c r="E145" t="str">
        <f t="shared" si="18"/>
        <v>SS</v>
      </c>
      <c r="F145" t="s">
        <v>25</v>
      </c>
      <c r="G145" t="s">
        <v>22</v>
      </c>
      <c r="H145">
        <v>75.599999999999994</v>
      </c>
      <c r="I145" t="str">
        <f t="shared" si="19"/>
        <v>Mencap Northern Division</v>
      </c>
      <c r="J145" t="str">
        <f t="shared" si="20"/>
        <v>Forest House (Mencap) Voluntary Associations Agency And Contracted Services Supported Living Adult Health &amp; Social Care</v>
      </c>
    </row>
    <row r="146" spans="1:10" x14ac:dyDescent="0.35">
      <c r="A146" t="str">
        <f t="shared" si="15"/>
        <v>APR</v>
      </c>
      <c r="B146" t="str">
        <f t="shared" si="16"/>
        <v>20</v>
      </c>
      <c r="C146" t="str">
        <f t="shared" si="17"/>
        <v>2020/21</v>
      </c>
      <c r="D146" t="str">
        <f>"SS SL 113419"</f>
        <v>SS SL 113419</v>
      </c>
      <c r="E146" t="str">
        <f t="shared" si="18"/>
        <v>SS</v>
      </c>
      <c r="F146" t="s">
        <v>25</v>
      </c>
      <c r="G146" t="s">
        <v>22</v>
      </c>
      <c r="H146">
        <v>75.599999999999994</v>
      </c>
      <c r="I146" t="str">
        <f t="shared" si="19"/>
        <v>Mencap Northern Division</v>
      </c>
      <c r="J146" t="str">
        <f t="shared" si="20"/>
        <v>Forest House (Mencap) Voluntary Associations Agency And Contracted Services Supported Living Adult Health &amp; Social Care</v>
      </c>
    </row>
    <row r="147" spans="1:10" x14ac:dyDescent="0.35">
      <c r="A147" t="str">
        <f t="shared" si="15"/>
        <v>APR</v>
      </c>
      <c r="B147" t="str">
        <f t="shared" si="16"/>
        <v>20</v>
      </c>
      <c r="C147" t="str">
        <f t="shared" si="17"/>
        <v>2020/21</v>
      </c>
      <c r="D147" t="str">
        <f>"SS SL 113462"</f>
        <v>SS SL 113462</v>
      </c>
      <c r="E147" t="str">
        <f t="shared" si="18"/>
        <v>SS</v>
      </c>
      <c r="F147" t="s">
        <v>25</v>
      </c>
      <c r="G147" t="s">
        <v>22</v>
      </c>
      <c r="H147">
        <v>11514.4</v>
      </c>
      <c r="I147" t="str">
        <f t="shared" si="19"/>
        <v>Mencap Northern Division</v>
      </c>
      <c r="J147" t="str">
        <f t="shared" si="20"/>
        <v>Forest House (Mencap) Voluntary Associations Agency And Contracted Services Supported Living Adult Health &amp; Social Care</v>
      </c>
    </row>
    <row r="148" spans="1:10" x14ac:dyDescent="0.35">
      <c r="A148" t="str">
        <f t="shared" si="15"/>
        <v>APR</v>
      </c>
      <c r="B148" t="str">
        <f t="shared" si="16"/>
        <v>20</v>
      </c>
      <c r="C148" t="str">
        <f t="shared" si="17"/>
        <v>2020/21</v>
      </c>
      <c r="E148" t="str">
        <f t="shared" si="18"/>
        <v/>
      </c>
      <c r="F148" t="s">
        <v>25</v>
      </c>
      <c r="G148" t="s">
        <v>22</v>
      </c>
      <c r="H148">
        <v>464.8</v>
      </c>
      <c r="I148" t="str">
        <f t="shared" si="19"/>
        <v>Mencap Northern Division</v>
      </c>
      <c r="J148" t="str">
        <f t="shared" si="20"/>
        <v>Forest House (Mencap) Voluntary Associations Agency And Contracted Services Supported Living Adult Health &amp; Social Care</v>
      </c>
    </row>
    <row r="149" spans="1:10" x14ac:dyDescent="0.35">
      <c r="A149" t="str">
        <f t="shared" si="15"/>
        <v>APR</v>
      </c>
      <c r="B149" t="str">
        <f t="shared" si="16"/>
        <v>20</v>
      </c>
      <c r="C149" t="str">
        <f t="shared" si="17"/>
        <v>2020/21</v>
      </c>
      <c r="D149" t="str">
        <f>"SS SL 113147"</f>
        <v>SS SL 113147</v>
      </c>
      <c r="E149" t="str">
        <f t="shared" si="18"/>
        <v>SS</v>
      </c>
      <c r="F149" t="s">
        <v>25</v>
      </c>
      <c r="G149" t="s">
        <v>22</v>
      </c>
      <c r="H149">
        <v>18479</v>
      </c>
      <c r="I149" t="str">
        <f t="shared" ref="I149:I154" si="21">"Possabilities CIC"</f>
        <v>Possabilities CIC</v>
      </c>
      <c r="J149" t="str">
        <f>"Vale Street (Possibilities) Voluntary Associations Agency And Contracted Services Supported Living Adult Health &amp; Social Care"</f>
        <v>Vale Street (Possibilities) Voluntary Associations Agency And Contracted Services Supported Living Adult Health &amp; Social Care</v>
      </c>
    </row>
    <row r="150" spans="1:10" x14ac:dyDescent="0.35">
      <c r="A150" t="str">
        <f t="shared" si="15"/>
        <v>APR</v>
      </c>
      <c r="B150" t="str">
        <f t="shared" si="16"/>
        <v>20</v>
      </c>
      <c r="C150" t="str">
        <f t="shared" si="17"/>
        <v>2020/21</v>
      </c>
      <c r="D150" t="str">
        <f>"SS SL 113468"</f>
        <v>SS SL 113468</v>
      </c>
      <c r="E150" t="str">
        <f t="shared" si="18"/>
        <v>SS</v>
      </c>
      <c r="F150" t="s">
        <v>25</v>
      </c>
      <c r="G150" t="s">
        <v>22</v>
      </c>
      <c r="H150">
        <v>18479</v>
      </c>
      <c r="I150" t="str">
        <f t="shared" si="21"/>
        <v>Possabilities CIC</v>
      </c>
      <c r="J150" t="str">
        <f>"Vale Street (Possibilities) Voluntary Associations Agency And Contracted Services Supported Living Adult Health &amp; Social Care"</f>
        <v>Vale Street (Possibilities) Voluntary Associations Agency And Contracted Services Supported Living Adult Health &amp; Social Care</v>
      </c>
    </row>
    <row r="151" spans="1:10" x14ac:dyDescent="0.35">
      <c r="A151" t="str">
        <f t="shared" si="15"/>
        <v>APR</v>
      </c>
      <c r="B151" t="str">
        <f t="shared" si="16"/>
        <v>20</v>
      </c>
      <c r="C151" t="str">
        <f t="shared" si="17"/>
        <v>2020/21</v>
      </c>
      <c r="D151" t="str">
        <f>"SS SL 113147"</f>
        <v>SS SL 113147</v>
      </c>
      <c r="E151" t="str">
        <f t="shared" si="18"/>
        <v>SS</v>
      </c>
      <c r="F151" t="s">
        <v>25</v>
      </c>
      <c r="G151" t="s">
        <v>22</v>
      </c>
      <c r="H151">
        <v>13807.4</v>
      </c>
      <c r="I151" t="str">
        <f t="shared" si="21"/>
        <v>Possabilities CIC</v>
      </c>
      <c r="J151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152" spans="1:10" x14ac:dyDescent="0.35">
      <c r="A152" t="str">
        <f t="shared" si="15"/>
        <v>APR</v>
      </c>
      <c r="B152" t="str">
        <f t="shared" si="16"/>
        <v>20</v>
      </c>
      <c r="C152" t="str">
        <f t="shared" si="17"/>
        <v>2020/21</v>
      </c>
      <c r="D152" t="str">
        <f>"SS SL 113468"</f>
        <v>SS SL 113468</v>
      </c>
      <c r="E152" t="str">
        <f t="shared" si="18"/>
        <v>SS</v>
      </c>
      <c r="F152" t="s">
        <v>25</v>
      </c>
      <c r="G152" t="s">
        <v>22</v>
      </c>
      <c r="H152">
        <v>13807.4</v>
      </c>
      <c r="I152" t="str">
        <f t="shared" si="21"/>
        <v>Possabilities CIC</v>
      </c>
      <c r="J152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153" spans="1:10" x14ac:dyDescent="0.35">
      <c r="A153" t="str">
        <f t="shared" si="15"/>
        <v>APR</v>
      </c>
      <c r="B153" t="str">
        <f t="shared" si="16"/>
        <v>20</v>
      </c>
      <c r="C153" t="str">
        <f t="shared" si="17"/>
        <v>2020/21</v>
      </c>
      <c r="D153" t="str">
        <f>"SS SL 113147"</f>
        <v>SS SL 113147</v>
      </c>
      <c r="E153" t="str">
        <f t="shared" si="18"/>
        <v>SS</v>
      </c>
      <c r="F153" t="s">
        <v>25</v>
      </c>
      <c r="G153" t="s">
        <v>22</v>
      </c>
      <c r="H153">
        <v>18570.599999999999</v>
      </c>
      <c r="I153" t="str">
        <f t="shared" si="21"/>
        <v>Possabilities CIC</v>
      </c>
      <c r="J153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154" spans="1:10" x14ac:dyDescent="0.35">
      <c r="A154" t="str">
        <f t="shared" si="15"/>
        <v>APR</v>
      </c>
      <c r="B154" t="str">
        <f t="shared" si="16"/>
        <v>20</v>
      </c>
      <c r="C154" t="str">
        <f t="shared" si="17"/>
        <v>2020/21</v>
      </c>
      <c r="D154" t="str">
        <f>"SS SL 113468"</f>
        <v>SS SL 113468</v>
      </c>
      <c r="E154" t="str">
        <f t="shared" si="18"/>
        <v>SS</v>
      </c>
      <c r="F154" t="s">
        <v>25</v>
      </c>
      <c r="G154" t="s">
        <v>22</v>
      </c>
      <c r="H154">
        <v>18570.599999999999</v>
      </c>
      <c r="I154" t="str">
        <f t="shared" si="21"/>
        <v>Possabilities CIC</v>
      </c>
      <c r="J154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155" spans="1:10" x14ac:dyDescent="0.35">
      <c r="A155" t="str">
        <f t="shared" si="15"/>
        <v>APR</v>
      </c>
      <c r="B155" t="str">
        <f t="shared" si="16"/>
        <v>20</v>
      </c>
      <c r="C155" t="str">
        <f t="shared" si="17"/>
        <v>2020/21</v>
      </c>
      <c r="D155" t="str">
        <f>"SS SL 113141"</f>
        <v>SS SL 113141</v>
      </c>
      <c r="E155" t="str">
        <f t="shared" si="18"/>
        <v>SS</v>
      </c>
      <c r="F155" t="s">
        <v>25</v>
      </c>
      <c r="G155" t="s">
        <v>22</v>
      </c>
      <c r="H155">
        <v>17789.2</v>
      </c>
      <c r="I155" t="str">
        <f>"The Mayfield Trust"</f>
        <v>The Mayfield Trust</v>
      </c>
      <c r="J155" t="str">
        <f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156" spans="1:10" x14ac:dyDescent="0.35">
      <c r="A156" t="str">
        <f t="shared" si="15"/>
        <v>APR</v>
      </c>
      <c r="B156" t="str">
        <f t="shared" si="16"/>
        <v>20</v>
      </c>
      <c r="C156" t="str">
        <f t="shared" si="17"/>
        <v>2020/21</v>
      </c>
      <c r="D156" t="str">
        <f>"SS SL 113461"</f>
        <v>SS SL 113461</v>
      </c>
      <c r="E156" t="str">
        <f t="shared" si="18"/>
        <v>SS</v>
      </c>
      <c r="F156" t="s">
        <v>25</v>
      </c>
      <c r="G156" t="s">
        <v>22</v>
      </c>
      <c r="H156">
        <v>17789.2</v>
      </c>
      <c r="I156" t="str">
        <f>"The Mayfield Trust"</f>
        <v>The Mayfield Trust</v>
      </c>
      <c r="J156" t="str">
        <f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157" spans="1:10" x14ac:dyDescent="0.35">
      <c r="A157" t="str">
        <f t="shared" si="15"/>
        <v>APR</v>
      </c>
      <c r="B157" t="str">
        <f t="shared" si="16"/>
        <v>20</v>
      </c>
      <c r="C157" t="str">
        <f t="shared" si="17"/>
        <v>2020/21</v>
      </c>
      <c r="D157" t="str">
        <f>"SS SL 113129"</f>
        <v>SS SL 113129</v>
      </c>
      <c r="E157" t="str">
        <f t="shared" si="18"/>
        <v>SS</v>
      </c>
      <c r="F157" t="s">
        <v>25</v>
      </c>
      <c r="G157" t="s">
        <v>22</v>
      </c>
      <c r="H157">
        <v>23173.599999999999</v>
      </c>
      <c r="I157" t="str">
        <f t="shared" ref="I157:I162" si="22">"Creative Support Ltd"</f>
        <v>Creative Support Ltd</v>
      </c>
      <c r="J157" t="str">
        <f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158" spans="1:10" x14ac:dyDescent="0.35">
      <c r="A158" t="str">
        <f t="shared" si="15"/>
        <v>APR</v>
      </c>
      <c r="B158" t="str">
        <f t="shared" si="16"/>
        <v>20</v>
      </c>
      <c r="C158" t="str">
        <f t="shared" si="17"/>
        <v>2020/21</v>
      </c>
      <c r="D158" t="str">
        <f>"SS SL 113454"</f>
        <v>SS SL 113454</v>
      </c>
      <c r="E158" t="str">
        <f t="shared" si="18"/>
        <v>SS</v>
      </c>
      <c r="F158" t="s">
        <v>25</v>
      </c>
      <c r="G158" t="s">
        <v>22</v>
      </c>
      <c r="H158">
        <v>23173.599999999999</v>
      </c>
      <c r="I158" t="str">
        <f t="shared" si="22"/>
        <v>Creative Support Ltd</v>
      </c>
      <c r="J158" t="str">
        <f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159" spans="1:10" x14ac:dyDescent="0.35">
      <c r="A159" t="str">
        <f t="shared" si="15"/>
        <v>APR</v>
      </c>
      <c r="B159" t="str">
        <f t="shared" si="16"/>
        <v>20</v>
      </c>
      <c r="C159" t="str">
        <f t="shared" si="17"/>
        <v>2020/21</v>
      </c>
      <c r="D159" t="str">
        <f>"SS SL 113129"</f>
        <v>SS SL 113129</v>
      </c>
      <c r="E159" t="str">
        <f t="shared" si="18"/>
        <v>SS</v>
      </c>
      <c r="F159" t="s">
        <v>25</v>
      </c>
      <c r="G159" t="s">
        <v>22</v>
      </c>
      <c r="H159">
        <v>14834.4</v>
      </c>
      <c r="I159" t="str">
        <f t="shared" si="22"/>
        <v>Creative Support Ltd</v>
      </c>
      <c r="J159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60" spans="1:10" x14ac:dyDescent="0.35">
      <c r="A160" t="str">
        <f t="shared" si="15"/>
        <v>APR</v>
      </c>
      <c r="B160" t="str">
        <f t="shared" si="16"/>
        <v>20</v>
      </c>
      <c r="C160" t="str">
        <f t="shared" si="17"/>
        <v>2020/21</v>
      </c>
      <c r="D160" t="str">
        <f>"SS SL 113454"</f>
        <v>SS SL 113454</v>
      </c>
      <c r="E160" t="str">
        <f t="shared" si="18"/>
        <v>SS</v>
      </c>
      <c r="F160" t="s">
        <v>25</v>
      </c>
      <c r="G160" t="s">
        <v>22</v>
      </c>
      <c r="H160">
        <v>14834.4</v>
      </c>
      <c r="I160" t="str">
        <f t="shared" si="22"/>
        <v>Creative Support Ltd</v>
      </c>
      <c r="J160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61" spans="1:10" x14ac:dyDescent="0.35">
      <c r="A161" t="str">
        <f t="shared" si="15"/>
        <v>APR</v>
      </c>
      <c r="B161" t="str">
        <f t="shared" si="16"/>
        <v>20</v>
      </c>
      <c r="C161" t="str">
        <f t="shared" si="17"/>
        <v>2020/21</v>
      </c>
      <c r="D161" t="str">
        <f>"SS SL 113572"</f>
        <v>SS SL 113572</v>
      </c>
      <c r="E161" t="str">
        <f t="shared" si="18"/>
        <v>SS</v>
      </c>
      <c r="F161" t="s">
        <v>25</v>
      </c>
      <c r="G161" t="s">
        <v>22</v>
      </c>
      <c r="H161">
        <v>21971.360000000001</v>
      </c>
      <c r="I161" t="str">
        <f t="shared" si="22"/>
        <v>Creative Support Ltd</v>
      </c>
      <c r="J161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62" spans="1:10" x14ac:dyDescent="0.35">
      <c r="A162" t="str">
        <f t="shared" si="15"/>
        <v>APR</v>
      </c>
      <c r="B162" t="str">
        <f t="shared" si="16"/>
        <v>20</v>
      </c>
      <c r="C162" t="str">
        <f t="shared" si="17"/>
        <v>2020/21</v>
      </c>
      <c r="D162" t="str">
        <f>"SS SL 113557"</f>
        <v>SS SL 113557</v>
      </c>
      <c r="E162" t="str">
        <f t="shared" si="18"/>
        <v>SS</v>
      </c>
      <c r="F162" t="s">
        <v>25</v>
      </c>
      <c r="G162" t="s">
        <v>22</v>
      </c>
      <c r="H162">
        <v>14245.28</v>
      </c>
      <c r="I162" t="str">
        <f t="shared" si="22"/>
        <v>Creative Support Ltd</v>
      </c>
      <c r="J162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63" spans="1:10" x14ac:dyDescent="0.35">
      <c r="A163" t="str">
        <f t="shared" si="15"/>
        <v>APR</v>
      </c>
      <c r="B163" t="str">
        <f t="shared" si="16"/>
        <v>20</v>
      </c>
      <c r="C163" t="str">
        <f t="shared" si="17"/>
        <v>2020/21</v>
      </c>
      <c r="D163" t="str">
        <f>"SS SL 113145"</f>
        <v>SS SL 113145</v>
      </c>
      <c r="E163" t="str">
        <f t="shared" si="18"/>
        <v>SS</v>
      </c>
      <c r="F163" t="s">
        <v>25</v>
      </c>
      <c r="G163" t="s">
        <v>22</v>
      </c>
      <c r="H163">
        <v>13197.64</v>
      </c>
      <c r="I163" t="str">
        <f t="shared" ref="I163:I168" si="23">"Future Directions CIC"</f>
        <v>Future Directions CIC</v>
      </c>
      <c r="J163" t="str">
        <f t="shared" ref="J163:J168" si="24"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164" spans="1:10" x14ac:dyDescent="0.35">
      <c r="A164" t="str">
        <f t="shared" si="15"/>
        <v>APR</v>
      </c>
      <c r="B164" t="str">
        <f t="shared" si="16"/>
        <v>20</v>
      </c>
      <c r="C164" t="str">
        <f t="shared" si="17"/>
        <v>2020/21</v>
      </c>
      <c r="D164" t="str">
        <f>"SS SL 113145"</f>
        <v>SS SL 113145</v>
      </c>
      <c r="E164" t="str">
        <f t="shared" si="18"/>
        <v>SS</v>
      </c>
      <c r="F164" t="s">
        <v>25</v>
      </c>
      <c r="G164" t="s">
        <v>22</v>
      </c>
      <c r="H164">
        <v>4221.71</v>
      </c>
      <c r="I164" t="str">
        <f t="shared" si="23"/>
        <v>Future Directions CIC</v>
      </c>
      <c r="J164" t="str">
        <f t="shared" si="24"/>
        <v>Endeavour House (Future Directions) Private Contractors Agency And Contracted Services Supported Living Adult Health &amp; Social Care</v>
      </c>
    </row>
    <row r="165" spans="1:10" x14ac:dyDescent="0.35">
      <c r="A165" t="str">
        <f t="shared" si="15"/>
        <v>APR</v>
      </c>
      <c r="B165" t="str">
        <f t="shared" si="16"/>
        <v>20</v>
      </c>
      <c r="C165" t="str">
        <f t="shared" si="17"/>
        <v>2020/21</v>
      </c>
      <c r="D165" t="str">
        <f>"SS SL 113145"</f>
        <v>SS SL 113145</v>
      </c>
      <c r="E165" t="str">
        <f t="shared" si="18"/>
        <v>SS</v>
      </c>
      <c r="F165" t="s">
        <v>25</v>
      </c>
      <c r="G165" t="s">
        <v>22</v>
      </c>
      <c r="H165">
        <v>13705.6</v>
      </c>
      <c r="I165" t="str">
        <f t="shared" si="23"/>
        <v>Future Directions CIC</v>
      </c>
      <c r="J165" t="str">
        <f t="shared" si="24"/>
        <v>Endeavour House (Future Directions) Private Contractors Agency And Contracted Services Supported Living Adult Health &amp; Social Care</v>
      </c>
    </row>
    <row r="166" spans="1:10" x14ac:dyDescent="0.35">
      <c r="A166" t="str">
        <f t="shared" si="15"/>
        <v>APR</v>
      </c>
      <c r="B166" t="str">
        <f t="shared" si="16"/>
        <v>20</v>
      </c>
      <c r="C166" t="str">
        <f t="shared" si="17"/>
        <v>2020/21</v>
      </c>
      <c r="D166" t="str">
        <f>"SS SL 113466"</f>
        <v>SS SL 113466</v>
      </c>
      <c r="E166" t="str">
        <f t="shared" si="18"/>
        <v>SS</v>
      </c>
      <c r="F166" t="s">
        <v>25</v>
      </c>
      <c r="G166" t="s">
        <v>22</v>
      </c>
      <c r="H166">
        <v>13705.6</v>
      </c>
      <c r="I166" t="str">
        <f t="shared" si="23"/>
        <v>Future Directions CIC</v>
      </c>
      <c r="J166" t="str">
        <f t="shared" si="24"/>
        <v>Endeavour House (Future Directions) Private Contractors Agency And Contracted Services Supported Living Adult Health &amp; Social Care</v>
      </c>
    </row>
    <row r="167" spans="1:10" x14ac:dyDescent="0.35">
      <c r="A167" t="str">
        <f t="shared" si="15"/>
        <v>APR</v>
      </c>
      <c r="B167" t="str">
        <f t="shared" si="16"/>
        <v>20</v>
      </c>
      <c r="C167" t="str">
        <f t="shared" si="17"/>
        <v>2020/21</v>
      </c>
      <c r="D167" t="str">
        <f>"SS SL 113466"</f>
        <v>SS SL 113466</v>
      </c>
      <c r="E167" t="str">
        <f t="shared" si="18"/>
        <v>SS</v>
      </c>
      <c r="F167" t="s">
        <v>25</v>
      </c>
      <c r="G167" t="s">
        <v>22</v>
      </c>
      <c r="H167">
        <v>4221.71</v>
      </c>
      <c r="I167" t="str">
        <f t="shared" si="23"/>
        <v>Future Directions CIC</v>
      </c>
      <c r="J167" t="str">
        <f t="shared" si="24"/>
        <v>Endeavour House (Future Directions) Private Contractors Agency And Contracted Services Supported Living Adult Health &amp; Social Care</v>
      </c>
    </row>
    <row r="168" spans="1:10" x14ac:dyDescent="0.35">
      <c r="A168" t="str">
        <f t="shared" si="15"/>
        <v>APR</v>
      </c>
      <c r="B168" t="str">
        <f t="shared" si="16"/>
        <v>20</v>
      </c>
      <c r="C168" t="str">
        <f t="shared" si="17"/>
        <v>2020/21</v>
      </c>
      <c r="D168" t="str">
        <f>"SS SL 113466"</f>
        <v>SS SL 113466</v>
      </c>
      <c r="E168" t="str">
        <f t="shared" si="18"/>
        <v>SS</v>
      </c>
      <c r="F168" t="s">
        <v>25</v>
      </c>
      <c r="G168" t="s">
        <v>22</v>
      </c>
      <c r="H168">
        <v>13197.64</v>
      </c>
      <c r="I168" t="str">
        <f t="shared" si="23"/>
        <v>Future Directions CIC</v>
      </c>
      <c r="J168" t="str">
        <f t="shared" si="24"/>
        <v>Endeavour House (Future Directions) Private Contractors Agency And Contracted Services Supported Living Adult Health &amp; Social Care</v>
      </c>
    </row>
    <row r="169" spans="1:10" x14ac:dyDescent="0.35">
      <c r="A169" t="str">
        <f t="shared" si="15"/>
        <v>APR</v>
      </c>
      <c r="B169" t="str">
        <f t="shared" si="16"/>
        <v>20</v>
      </c>
      <c r="C169" t="str">
        <f t="shared" si="17"/>
        <v>2020/21</v>
      </c>
      <c r="D169" t="str">
        <f>"SS SL 113141"</f>
        <v>SS SL 113141</v>
      </c>
      <c r="E169" t="str">
        <f t="shared" si="18"/>
        <v>SS</v>
      </c>
      <c r="F169" t="s">
        <v>25</v>
      </c>
      <c r="G169" t="s">
        <v>22</v>
      </c>
      <c r="H169">
        <v>19289.2</v>
      </c>
      <c r="I169" t="str">
        <f>"The Mayfield Trust"</f>
        <v>The Mayfield Trust</v>
      </c>
      <c r="J169" t="str">
        <f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170" spans="1:10" x14ac:dyDescent="0.35">
      <c r="A170" t="str">
        <f t="shared" si="15"/>
        <v>APR</v>
      </c>
      <c r="B170" t="str">
        <f t="shared" si="16"/>
        <v>20</v>
      </c>
      <c r="C170" t="str">
        <f t="shared" si="17"/>
        <v>2020/21</v>
      </c>
      <c r="D170" t="str">
        <f>"SS SL 113461"</f>
        <v>SS SL 113461</v>
      </c>
      <c r="E170" t="str">
        <f t="shared" si="18"/>
        <v>SS</v>
      </c>
      <c r="F170" t="s">
        <v>25</v>
      </c>
      <c r="G170" t="s">
        <v>22</v>
      </c>
      <c r="H170">
        <v>19289.2</v>
      </c>
      <c r="I170" t="str">
        <f>"The Mayfield Trust"</f>
        <v>The Mayfield Trust</v>
      </c>
      <c r="J170" t="str">
        <f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171" spans="1:10" x14ac:dyDescent="0.35">
      <c r="A171" t="str">
        <f t="shared" si="15"/>
        <v>APR</v>
      </c>
      <c r="B171" t="str">
        <f t="shared" si="16"/>
        <v>20</v>
      </c>
      <c r="C171" t="str">
        <f t="shared" si="17"/>
        <v>2020/21</v>
      </c>
      <c r="D171" t="str">
        <f>"SS SL 113129"</f>
        <v>SS SL 113129</v>
      </c>
      <c r="E171" t="str">
        <f t="shared" si="18"/>
        <v>SS</v>
      </c>
      <c r="F171" t="s">
        <v>25</v>
      </c>
      <c r="G171" t="s">
        <v>22</v>
      </c>
      <c r="H171">
        <v>17490.400000000001</v>
      </c>
      <c r="I171" t="str">
        <f t="shared" ref="I171:I191" si="25">"Creative Support Ltd"</f>
        <v>Creative Support Ltd</v>
      </c>
      <c r="J171" t="str">
        <f>"42 Church Lane (Creative Support) Private Contractors Agency And Contracted Services Supported Living Adult Health &amp; Social Care"</f>
        <v>42 Church Lane (Creative Support) Private Contractors Agency And Contracted Services Supported Living Adult Health &amp; Social Care</v>
      </c>
    </row>
    <row r="172" spans="1:10" x14ac:dyDescent="0.35">
      <c r="A172" t="str">
        <f t="shared" si="15"/>
        <v>APR</v>
      </c>
      <c r="B172" t="str">
        <f t="shared" si="16"/>
        <v>20</v>
      </c>
      <c r="C172" t="str">
        <f t="shared" si="17"/>
        <v>2020/21</v>
      </c>
      <c r="D172" t="str">
        <f>"SS SL 113454"</f>
        <v>SS SL 113454</v>
      </c>
      <c r="E172" t="str">
        <f t="shared" si="18"/>
        <v>SS</v>
      </c>
      <c r="F172" t="s">
        <v>25</v>
      </c>
      <c r="G172" t="s">
        <v>22</v>
      </c>
      <c r="H172">
        <v>17490.400000000001</v>
      </c>
      <c r="I172" t="str">
        <f t="shared" si="25"/>
        <v>Creative Support Ltd</v>
      </c>
      <c r="J172" t="str">
        <f>"42 Church Lane (Creative Support) Private Contractors Agency And Contracted Services Supported Living Adult Health &amp; Social Care"</f>
        <v>42 Church Lane (Creative Support) Private Contractors Agency And Contracted Services Supported Living Adult Health &amp; Social Care</v>
      </c>
    </row>
    <row r="173" spans="1:10" x14ac:dyDescent="0.35">
      <c r="A173" t="str">
        <f t="shared" si="15"/>
        <v>APR</v>
      </c>
      <c r="B173" t="str">
        <f t="shared" si="16"/>
        <v>20</v>
      </c>
      <c r="C173" t="str">
        <f t="shared" si="17"/>
        <v>2020/21</v>
      </c>
      <c r="D173" t="str">
        <f>"SS SL 113557"</f>
        <v>SS SL 113557</v>
      </c>
      <c r="E173" t="str">
        <f t="shared" si="18"/>
        <v>SS</v>
      </c>
      <c r="F173" t="s">
        <v>25</v>
      </c>
      <c r="G173" t="s">
        <v>22</v>
      </c>
      <c r="H173">
        <v>17278.36</v>
      </c>
      <c r="I173" t="str">
        <f t="shared" si="25"/>
        <v>Creative Support Ltd</v>
      </c>
      <c r="J173" t="str">
        <f>"42 Church Lane (Creative Support) Private Contractors Agency And Contracted Services Supported Living Adult Health &amp; Social Care"</f>
        <v>42 Church Lane (Creative Support) Private Contractors Agency And Contracted Services Supported Living Adult Health &amp; Social Care</v>
      </c>
    </row>
    <row r="174" spans="1:10" x14ac:dyDescent="0.35">
      <c r="A174" t="str">
        <f t="shared" si="15"/>
        <v>APR</v>
      </c>
      <c r="B174" t="str">
        <f t="shared" si="16"/>
        <v>20</v>
      </c>
      <c r="C174" t="str">
        <f t="shared" si="17"/>
        <v>2020/21</v>
      </c>
      <c r="D174" t="str">
        <f>"SS SL 113129"</f>
        <v>SS SL 113129</v>
      </c>
      <c r="E174" t="str">
        <f t="shared" si="18"/>
        <v>SS</v>
      </c>
      <c r="F174" t="s">
        <v>25</v>
      </c>
      <c r="G174" t="s">
        <v>22</v>
      </c>
      <c r="H174">
        <v>11780</v>
      </c>
      <c r="I174" t="str">
        <f t="shared" si="25"/>
        <v>Creative Support Ltd</v>
      </c>
      <c r="J174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175" spans="1:10" x14ac:dyDescent="0.35">
      <c r="A175" t="str">
        <f t="shared" si="15"/>
        <v>APR</v>
      </c>
      <c r="B175" t="str">
        <f t="shared" si="16"/>
        <v>20</v>
      </c>
      <c r="C175" t="str">
        <f t="shared" si="17"/>
        <v>2020/21</v>
      </c>
      <c r="D175" t="str">
        <f>"SS SL 113454"</f>
        <v>SS SL 113454</v>
      </c>
      <c r="E175" t="str">
        <f t="shared" si="18"/>
        <v>SS</v>
      </c>
      <c r="F175" t="s">
        <v>25</v>
      </c>
      <c r="G175" t="s">
        <v>22</v>
      </c>
      <c r="H175">
        <v>11780</v>
      </c>
      <c r="I175" t="str">
        <f t="shared" si="25"/>
        <v>Creative Support Ltd</v>
      </c>
      <c r="J175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176" spans="1:10" x14ac:dyDescent="0.35">
      <c r="A176" t="str">
        <f t="shared" si="15"/>
        <v>APR</v>
      </c>
      <c r="B176" t="str">
        <f t="shared" si="16"/>
        <v>20</v>
      </c>
      <c r="C176" t="str">
        <f t="shared" si="17"/>
        <v>2020/21</v>
      </c>
      <c r="D176" t="str">
        <f>"SS SL 113557"</f>
        <v>SS SL 113557</v>
      </c>
      <c r="E176" t="str">
        <f t="shared" si="18"/>
        <v>SS</v>
      </c>
      <c r="F176" t="s">
        <v>25</v>
      </c>
      <c r="G176" t="s">
        <v>22</v>
      </c>
      <c r="H176">
        <v>11323.36</v>
      </c>
      <c r="I176" t="str">
        <f t="shared" si="25"/>
        <v>Creative Support Ltd</v>
      </c>
      <c r="J176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177" spans="1:10" x14ac:dyDescent="0.35">
      <c r="A177" t="str">
        <f t="shared" si="15"/>
        <v>APR</v>
      </c>
      <c r="B177" t="str">
        <f t="shared" si="16"/>
        <v>20</v>
      </c>
      <c r="C177" t="str">
        <f t="shared" si="17"/>
        <v>2020/21</v>
      </c>
      <c r="D177" t="str">
        <f>"SS SL 113129"</f>
        <v>SS SL 113129</v>
      </c>
      <c r="E177" t="str">
        <f t="shared" si="18"/>
        <v>SS</v>
      </c>
      <c r="F177" t="s">
        <v>25</v>
      </c>
      <c r="G177" t="s">
        <v>22</v>
      </c>
      <c r="H177">
        <v>15664.4</v>
      </c>
      <c r="I177" t="str">
        <f t="shared" si="25"/>
        <v>Creative Support Ltd</v>
      </c>
      <c r="J177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178" spans="1:10" x14ac:dyDescent="0.35">
      <c r="A178" t="str">
        <f t="shared" si="15"/>
        <v>APR</v>
      </c>
      <c r="B178" t="str">
        <f t="shared" si="16"/>
        <v>20</v>
      </c>
      <c r="C178" t="str">
        <f t="shared" si="17"/>
        <v>2020/21</v>
      </c>
      <c r="D178" t="str">
        <f>"SS SL 113454"</f>
        <v>SS SL 113454</v>
      </c>
      <c r="E178" t="str">
        <f t="shared" si="18"/>
        <v>SS</v>
      </c>
      <c r="F178" t="s">
        <v>25</v>
      </c>
      <c r="G178" t="s">
        <v>22</v>
      </c>
      <c r="H178">
        <v>15664.4</v>
      </c>
      <c r="I178" t="str">
        <f t="shared" si="25"/>
        <v>Creative Support Ltd</v>
      </c>
      <c r="J178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179" spans="1:10" x14ac:dyDescent="0.35">
      <c r="A179" t="str">
        <f t="shared" si="15"/>
        <v>APR</v>
      </c>
      <c r="B179" t="str">
        <f t="shared" si="16"/>
        <v>20</v>
      </c>
      <c r="C179" t="str">
        <f t="shared" si="17"/>
        <v>2020/21</v>
      </c>
      <c r="D179" t="str">
        <f>"SS SL 113557"</f>
        <v>SS SL 113557</v>
      </c>
      <c r="E179" t="str">
        <f t="shared" si="18"/>
        <v>SS</v>
      </c>
      <c r="F179" t="s">
        <v>25</v>
      </c>
      <c r="G179" t="s">
        <v>22</v>
      </c>
      <c r="H179">
        <v>15071.04</v>
      </c>
      <c r="I179" t="str">
        <f t="shared" si="25"/>
        <v>Creative Support Ltd</v>
      </c>
      <c r="J179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180" spans="1:10" x14ac:dyDescent="0.35">
      <c r="A180" t="str">
        <f t="shared" si="15"/>
        <v>APR</v>
      </c>
      <c r="B180" t="str">
        <f t="shared" si="16"/>
        <v>20</v>
      </c>
      <c r="C180" t="str">
        <f t="shared" si="17"/>
        <v>2020/21</v>
      </c>
      <c r="D180" t="str">
        <f>"SS SL 113129"</f>
        <v>SS SL 113129</v>
      </c>
      <c r="E180" t="str">
        <f t="shared" si="18"/>
        <v>SS</v>
      </c>
      <c r="F180" t="s">
        <v>25</v>
      </c>
      <c r="G180" t="s">
        <v>22</v>
      </c>
      <c r="H180">
        <v>13074.8</v>
      </c>
      <c r="I180" t="str">
        <f t="shared" si="25"/>
        <v>Creative Support Ltd</v>
      </c>
      <c r="J180" t="str">
        <f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181" spans="1:10" x14ac:dyDescent="0.35">
      <c r="A181" t="str">
        <f t="shared" si="15"/>
        <v>APR</v>
      </c>
      <c r="B181" t="str">
        <f t="shared" si="16"/>
        <v>20</v>
      </c>
      <c r="C181" t="str">
        <f t="shared" si="17"/>
        <v>2020/21</v>
      </c>
      <c r="D181" t="str">
        <f>"SS SL 113454"</f>
        <v>SS SL 113454</v>
      </c>
      <c r="E181" t="str">
        <f t="shared" si="18"/>
        <v>SS</v>
      </c>
      <c r="F181" t="s">
        <v>25</v>
      </c>
      <c r="G181" t="s">
        <v>22</v>
      </c>
      <c r="H181">
        <v>13074.8</v>
      </c>
      <c r="I181" t="str">
        <f t="shared" si="25"/>
        <v>Creative Support Ltd</v>
      </c>
      <c r="J181" t="str">
        <f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182" spans="1:10" x14ac:dyDescent="0.35">
      <c r="A182" t="str">
        <f t="shared" si="15"/>
        <v>APR</v>
      </c>
      <c r="B182" t="str">
        <f t="shared" si="16"/>
        <v>20</v>
      </c>
      <c r="C182" t="str">
        <f t="shared" si="17"/>
        <v>2020/21</v>
      </c>
      <c r="D182" t="str">
        <f>"SS SL 113557"</f>
        <v>SS SL 113557</v>
      </c>
      <c r="E182" t="str">
        <f t="shared" si="18"/>
        <v>SS</v>
      </c>
      <c r="F182" t="s">
        <v>25</v>
      </c>
      <c r="G182" t="s">
        <v>22</v>
      </c>
      <c r="H182">
        <v>12562</v>
      </c>
      <c r="I182" t="str">
        <f t="shared" si="25"/>
        <v>Creative Support Ltd</v>
      </c>
      <c r="J182" t="str">
        <f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183" spans="1:10" x14ac:dyDescent="0.35">
      <c r="A183" t="str">
        <f t="shared" si="15"/>
        <v>APR</v>
      </c>
      <c r="B183" t="str">
        <f t="shared" si="16"/>
        <v>20</v>
      </c>
      <c r="C183" t="str">
        <f t="shared" si="17"/>
        <v>2020/21</v>
      </c>
      <c r="D183" t="str">
        <f>"SS SL 113129"</f>
        <v>SS SL 113129</v>
      </c>
      <c r="E183" t="str">
        <f t="shared" si="18"/>
        <v>SS</v>
      </c>
      <c r="F183" t="s">
        <v>25</v>
      </c>
      <c r="G183" t="s">
        <v>22</v>
      </c>
      <c r="H183">
        <v>15498.4</v>
      </c>
      <c r="I183" t="str">
        <f t="shared" si="25"/>
        <v>Creative Support Ltd</v>
      </c>
      <c r="J183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84" spans="1:10" x14ac:dyDescent="0.35">
      <c r="A184" t="str">
        <f t="shared" si="15"/>
        <v>APR</v>
      </c>
      <c r="B184" t="str">
        <f t="shared" si="16"/>
        <v>20</v>
      </c>
      <c r="C184" t="str">
        <f t="shared" si="17"/>
        <v>2020/21</v>
      </c>
      <c r="D184" t="str">
        <f>"SS SL 113454"</f>
        <v>SS SL 113454</v>
      </c>
      <c r="E184" t="str">
        <f t="shared" si="18"/>
        <v>SS</v>
      </c>
      <c r="F184" t="s">
        <v>25</v>
      </c>
      <c r="G184" t="s">
        <v>22</v>
      </c>
      <c r="H184">
        <v>15498.4</v>
      </c>
      <c r="I184" t="str">
        <f t="shared" si="25"/>
        <v>Creative Support Ltd</v>
      </c>
      <c r="J184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85" spans="1:10" x14ac:dyDescent="0.35">
      <c r="A185" t="str">
        <f t="shared" si="15"/>
        <v>APR</v>
      </c>
      <c r="B185" t="str">
        <f t="shared" si="16"/>
        <v>20</v>
      </c>
      <c r="C185" t="str">
        <f t="shared" si="17"/>
        <v>2020/21</v>
      </c>
      <c r="D185" t="str">
        <f>"SS SL 113557"</f>
        <v>SS SL 113557</v>
      </c>
      <c r="E185" t="str">
        <f t="shared" si="18"/>
        <v>SS</v>
      </c>
      <c r="F185" t="s">
        <v>25</v>
      </c>
      <c r="G185" t="s">
        <v>22</v>
      </c>
      <c r="H185">
        <v>16468.48</v>
      </c>
      <c r="I185" t="str">
        <f t="shared" si="25"/>
        <v>Creative Support Ltd</v>
      </c>
      <c r="J185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86" spans="1:10" x14ac:dyDescent="0.35">
      <c r="A186" t="str">
        <f t="shared" si="15"/>
        <v>APR</v>
      </c>
      <c r="B186" t="str">
        <f t="shared" si="16"/>
        <v>20</v>
      </c>
      <c r="C186" t="str">
        <f t="shared" si="17"/>
        <v>2020/21</v>
      </c>
      <c r="D186" t="str">
        <f>"SS SL 113129"</f>
        <v>SS SL 113129</v>
      </c>
      <c r="E186" t="str">
        <f t="shared" si="18"/>
        <v>SS</v>
      </c>
      <c r="F186" t="s">
        <v>25</v>
      </c>
      <c r="G186" t="s">
        <v>22</v>
      </c>
      <c r="H186">
        <v>13855</v>
      </c>
      <c r="I186" t="str">
        <f t="shared" si="25"/>
        <v>Creative Support Ltd</v>
      </c>
      <c r="J186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87" spans="1:10" x14ac:dyDescent="0.35">
      <c r="A187" t="str">
        <f t="shared" si="15"/>
        <v>APR</v>
      </c>
      <c r="B187" t="str">
        <f t="shared" si="16"/>
        <v>20</v>
      </c>
      <c r="C187" t="str">
        <f t="shared" si="17"/>
        <v>2020/21</v>
      </c>
      <c r="D187" t="str">
        <f>"SS SL 113454"</f>
        <v>SS SL 113454</v>
      </c>
      <c r="E187" t="str">
        <f t="shared" si="18"/>
        <v>SS</v>
      </c>
      <c r="F187" t="s">
        <v>25</v>
      </c>
      <c r="G187" t="s">
        <v>22</v>
      </c>
      <c r="H187">
        <v>13855</v>
      </c>
      <c r="I187" t="str">
        <f t="shared" si="25"/>
        <v>Creative Support Ltd</v>
      </c>
      <c r="J187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88" spans="1:10" x14ac:dyDescent="0.35">
      <c r="A188" t="str">
        <f t="shared" si="15"/>
        <v>APR</v>
      </c>
      <c r="B188" t="str">
        <f t="shared" si="16"/>
        <v>20</v>
      </c>
      <c r="C188" t="str">
        <f t="shared" si="17"/>
        <v>2020/21</v>
      </c>
      <c r="D188" t="str">
        <f>"SS SL 113557"</f>
        <v>SS SL 113557</v>
      </c>
      <c r="E188" t="str">
        <f t="shared" si="18"/>
        <v>SS</v>
      </c>
      <c r="F188" t="s">
        <v>25</v>
      </c>
      <c r="G188" t="s">
        <v>22</v>
      </c>
      <c r="H188">
        <v>13308.36</v>
      </c>
      <c r="I188" t="str">
        <f t="shared" si="25"/>
        <v>Creative Support Ltd</v>
      </c>
      <c r="J188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89" spans="1:10" x14ac:dyDescent="0.35">
      <c r="A189" t="str">
        <f t="shared" si="15"/>
        <v>APR</v>
      </c>
      <c r="B189" t="str">
        <f t="shared" si="16"/>
        <v>20</v>
      </c>
      <c r="C189" t="str">
        <f t="shared" si="17"/>
        <v>2020/21</v>
      </c>
      <c r="D189" t="str">
        <f>"SS SL 113129"</f>
        <v>SS SL 113129</v>
      </c>
      <c r="E189" t="str">
        <f t="shared" si="18"/>
        <v>SS</v>
      </c>
      <c r="F189" t="s">
        <v>25</v>
      </c>
      <c r="G189" t="s">
        <v>22</v>
      </c>
      <c r="H189">
        <v>19817.509999999998</v>
      </c>
      <c r="I189" t="str">
        <f t="shared" si="25"/>
        <v>Creative Support Ltd</v>
      </c>
      <c r="J189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90" spans="1:10" x14ac:dyDescent="0.35">
      <c r="A190" t="str">
        <f t="shared" si="15"/>
        <v>APR</v>
      </c>
      <c r="B190" t="str">
        <f t="shared" si="16"/>
        <v>20</v>
      </c>
      <c r="C190" t="str">
        <f t="shared" si="17"/>
        <v>2020/21</v>
      </c>
      <c r="D190" t="str">
        <f>"SS SL 113454"</f>
        <v>SS SL 113454</v>
      </c>
      <c r="E190" t="str">
        <f t="shared" si="18"/>
        <v>SS</v>
      </c>
      <c r="F190" t="s">
        <v>25</v>
      </c>
      <c r="G190" t="s">
        <v>22</v>
      </c>
      <c r="H190">
        <v>19817.509999999998</v>
      </c>
      <c r="I190" t="str">
        <f t="shared" si="25"/>
        <v>Creative Support Ltd</v>
      </c>
      <c r="J190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91" spans="1:10" x14ac:dyDescent="0.35">
      <c r="A191" t="str">
        <f t="shared" si="15"/>
        <v>APR</v>
      </c>
      <c r="B191" t="str">
        <f t="shared" si="16"/>
        <v>20</v>
      </c>
      <c r="C191" t="str">
        <f t="shared" si="17"/>
        <v>2020/21</v>
      </c>
      <c r="D191" t="str">
        <f>"SS SL 113557"</f>
        <v>SS SL 113557</v>
      </c>
      <c r="E191" t="str">
        <f t="shared" si="18"/>
        <v>SS</v>
      </c>
      <c r="F191" t="s">
        <v>25</v>
      </c>
      <c r="G191" t="s">
        <v>22</v>
      </c>
      <c r="H191">
        <v>18940.439999999999</v>
      </c>
      <c r="I191" t="str">
        <f t="shared" si="25"/>
        <v>Creative Support Ltd</v>
      </c>
      <c r="J191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92" spans="1:10" x14ac:dyDescent="0.35">
      <c r="A192" t="str">
        <f t="shared" si="15"/>
        <v>APR</v>
      </c>
      <c r="B192" t="str">
        <f t="shared" si="16"/>
        <v>20</v>
      </c>
      <c r="C192" t="str">
        <f t="shared" si="17"/>
        <v>2020/21</v>
      </c>
      <c r="D192" t="str">
        <f>"SS SL 113141"</f>
        <v>SS SL 113141</v>
      </c>
      <c r="E192" t="str">
        <f t="shared" si="18"/>
        <v>SS</v>
      </c>
      <c r="F192" t="s">
        <v>25</v>
      </c>
      <c r="G192" t="s">
        <v>22</v>
      </c>
      <c r="H192">
        <v>55687.56</v>
      </c>
      <c r="I192" t="str">
        <f>"The Mayfield Trust"</f>
        <v>The Mayfield Trust</v>
      </c>
      <c r="J192" t="str">
        <f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193" spans="1:10" x14ac:dyDescent="0.35">
      <c r="A193" t="str">
        <f t="shared" si="15"/>
        <v>APR</v>
      </c>
      <c r="B193" t="str">
        <f t="shared" si="16"/>
        <v>20</v>
      </c>
      <c r="C193" t="str">
        <f t="shared" si="17"/>
        <v>2020/21</v>
      </c>
      <c r="D193" t="str">
        <f>"SS SL 113461"</f>
        <v>SS SL 113461</v>
      </c>
      <c r="E193" t="str">
        <f t="shared" si="18"/>
        <v>SS</v>
      </c>
      <c r="F193" t="s">
        <v>25</v>
      </c>
      <c r="G193" t="s">
        <v>22</v>
      </c>
      <c r="H193">
        <v>55687.56</v>
      </c>
      <c r="I193" t="str">
        <f>"The Mayfield Trust"</f>
        <v>The Mayfield Trust</v>
      </c>
      <c r="J193" t="str">
        <f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194" spans="1:10" x14ac:dyDescent="0.35">
      <c r="A194" t="str">
        <f t="shared" ref="A194:A242" si="26">"APR"</f>
        <v>APR</v>
      </c>
      <c r="B194" t="str">
        <f t="shared" ref="B194:B257" si="27">"20"</f>
        <v>20</v>
      </c>
      <c r="C194" t="str">
        <f t="shared" ref="C194:C257" si="28">"2020/21"</f>
        <v>2020/21</v>
      </c>
      <c r="D194" t="str">
        <f>"SS CO 113358"</f>
        <v>SS CO 113358</v>
      </c>
      <c r="E194" t="str">
        <f t="shared" ref="E194:E257" si="29">LEFT(D194,2)</f>
        <v>SS</v>
      </c>
      <c r="F194" t="s">
        <v>25</v>
      </c>
      <c r="G194" t="s">
        <v>22</v>
      </c>
      <c r="H194">
        <v>2458.33</v>
      </c>
      <c r="I194" t="str">
        <f>"Our Place"</f>
        <v>Our Place</v>
      </c>
      <c r="J194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195" spans="1:10" x14ac:dyDescent="0.35">
      <c r="A195" t="str">
        <f t="shared" si="26"/>
        <v>APR</v>
      </c>
      <c r="B195" t="str">
        <f t="shared" si="27"/>
        <v>20</v>
      </c>
      <c r="C195" t="str">
        <f t="shared" si="28"/>
        <v>2020/21</v>
      </c>
      <c r="D195" t="str">
        <f>"SS CO 113358"</f>
        <v>SS CO 113358</v>
      </c>
      <c r="E195" t="str">
        <f t="shared" si="29"/>
        <v>SS</v>
      </c>
      <c r="F195" t="s">
        <v>25</v>
      </c>
      <c r="G195" t="s">
        <v>22</v>
      </c>
      <c r="H195">
        <v>2458.33</v>
      </c>
      <c r="I195" t="str">
        <f>"Our Place"</f>
        <v>Our Place</v>
      </c>
      <c r="J195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196" spans="1:10" x14ac:dyDescent="0.35">
      <c r="A196" t="str">
        <f t="shared" si="26"/>
        <v>APR</v>
      </c>
      <c r="B196" t="str">
        <f t="shared" si="27"/>
        <v>20</v>
      </c>
      <c r="C196" t="str">
        <f t="shared" si="28"/>
        <v>2020/21</v>
      </c>
      <c r="D196" t="str">
        <f>"SS LD 113194"</f>
        <v>SS LD 113194</v>
      </c>
      <c r="E196" t="str">
        <f t="shared" si="29"/>
        <v>SS</v>
      </c>
      <c r="F196" t="s">
        <v>25</v>
      </c>
      <c r="G196" t="s">
        <v>22</v>
      </c>
      <c r="H196">
        <v>60000</v>
      </c>
      <c r="I196" t="str">
        <f>"Calderdale Carers Project"</f>
        <v>Calderdale Carers Project</v>
      </c>
      <c r="J196" t="str">
        <f>"Calderdale Carers Project SLA (BCF) Voluntary Associations Agency And Contracted Services Carers Support Adult Health &amp; Social Care"</f>
        <v>Calderdale Carers Project SLA (BCF) Voluntary Associations Agency And Contracted Services Carers Support Adult Health &amp; Social Care</v>
      </c>
    </row>
    <row r="197" spans="1:10" x14ac:dyDescent="0.35">
      <c r="A197" t="str">
        <f t="shared" si="26"/>
        <v>APR</v>
      </c>
      <c r="B197" t="str">
        <f t="shared" si="27"/>
        <v>20</v>
      </c>
      <c r="C197" t="str">
        <f t="shared" si="28"/>
        <v>2020/21</v>
      </c>
      <c r="E197" t="str">
        <f t="shared" si="29"/>
        <v/>
      </c>
      <c r="F197" t="s">
        <v>25</v>
      </c>
      <c r="G197" t="s">
        <v>22</v>
      </c>
      <c r="H197">
        <v>1298</v>
      </c>
      <c r="I197" t="str">
        <f>"Vitalise"</f>
        <v>Vitalise</v>
      </c>
      <c r="J197" t="str">
        <f>"Nursing Placements (Physical Disabilities)-Voluntary Home Voluntary Associations Agency And Contracted Services Residential &amp; Nursing Placements"</f>
        <v>Nursing Placements (Physical Disabilities)-Voluntary Home Voluntary Associations Agency And Contracted Services Residential &amp; Nursing Placements</v>
      </c>
    </row>
    <row r="198" spans="1:10" x14ac:dyDescent="0.35">
      <c r="A198" t="str">
        <f t="shared" si="26"/>
        <v>APR</v>
      </c>
      <c r="B198" t="str">
        <f t="shared" si="27"/>
        <v>20</v>
      </c>
      <c r="C198" t="str">
        <f t="shared" si="28"/>
        <v>2020/21</v>
      </c>
      <c r="E198" t="str">
        <f t="shared" si="29"/>
        <v/>
      </c>
      <c r="F198" t="s">
        <v>25</v>
      </c>
      <c r="G198" t="s">
        <v>22</v>
      </c>
      <c r="H198">
        <v>-62.73</v>
      </c>
      <c r="I198" t="str">
        <f>"Vitalise"</f>
        <v>Vitalise</v>
      </c>
      <c r="J198" t="str">
        <f>"Nursing Client Contribution-Nursing Placements Customer And Client Receipts Income Residential &amp; Nursing Placements (Phys Dis) Adult Health &amp; So"</f>
        <v>Nursing Client Contribution-Nursing Placements Customer And Client Receipts Income Residential &amp; Nursing Placements (Phys Dis) Adult Health &amp; So</v>
      </c>
    </row>
    <row r="199" spans="1:10" x14ac:dyDescent="0.35">
      <c r="A199" t="str">
        <f t="shared" si="26"/>
        <v>APR</v>
      </c>
      <c r="B199" t="str">
        <f t="shared" si="27"/>
        <v>20</v>
      </c>
      <c r="C199" t="str">
        <f t="shared" si="28"/>
        <v>2020/21</v>
      </c>
      <c r="E199" t="str">
        <f t="shared" si="29"/>
        <v/>
      </c>
      <c r="F199" t="s">
        <v>25</v>
      </c>
      <c r="G199" t="s">
        <v>22</v>
      </c>
      <c r="H199">
        <v>25639.119999999999</v>
      </c>
      <c r="I199" t="str">
        <f t="shared" ref="I199:I206" si="30">"Anchor Trust"</f>
        <v>Anchor Trust</v>
      </c>
      <c r="J199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00" spans="1:10" x14ac:dyDescent="0.35">
      <c r="A200" t="str">
        <f t="shared" si="26"/>
        <v>APR</v>
      </c>
      <c r="B200" t="str">
        <f t="shared" si="27"/>
        <v>20</v>
      </c>
      <c r="C200" t="str">
        <f t="shared" si="28"/>
        <v>2020/21</v>
      </c>
      <c r="E200" t="str">
        <f t="shared" si="29"/>
        <v/>
      </c>
      <c r="F200" t="s">
        <v>25</v>
      </c>
      <c r="G200" t="s">
        <v>22</v>
      </c>
      <c r="H200">
        <v>16292.35</v>
      </c>
      <c r="I200" t="str">
        <f t="shared" si="30"/>
        <v>Anchor Trust</v>
      </c>
      <c r="J200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01" spans="1:10" x14ac:dyDescent="0.35">
      <c r="A201" t="str">
        <f t="shared" si="26"/>
        <v>APR</v>
      </c>
      <c r="B201" t="str">
        <f t="shared" si="27"/>
        <v>20</v>
      </c>
      <c r="C201" t="str">
        <f t="shared" si="28"/>
        <v>2020/21</v>
      </c>
      <c r="E201" t="str">
        <f t="shared" si="29"/>
        <v/>
      </c>
      <c r="F201" t="s">
        <v>25</v>
      </c>
      <c r="G201" t="s">
        <v>22</v>
      </c>
      <c r="H201">
        <v>10696.99</v>
      </c>
      <c r="I201" t="str">
        <f t="shared" si="30"/>
        <v>Anchor Trust</v>
      </c>
      <c r="J201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02" spans="1:10" x14ac:dyDescent="0.35">
      <c r="A202" t="str">
        <f t="shared" si="26"/>
        <v>APR</v>
      </c>
      <c r="B202" t="str">
        <f t="shared" si="27"/>
        <v>20</v>
      </c>
      <c r="C202" t="str">
        <f t="shared" si="28"/>
        <v>2020/21</v>
      </c>
      <c r="E202" t="str">
        <f t="shared" si="29"/>
        <v/>
      </c>
      <c r="F202" t="s">
        <v>25</v>
      </c>
      <c r="G202" t="s">
        <v>22</v>
      </c>
      <c r="H202">
        <v>10397.08</v>
      </c>
      <c r="I202" t="str">
        <f t="shared" si="30"/>
        <v>Anchor Trust</v>
      </c>
      <c r="J202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03" spans="1:10" x14ac:dyDescent="0.35">
      <c r="A203" t="str">
        <f t="shared" si="26"/>
        <v>APR</v>
      </c>
      <c r="B203" t="str">
        <f t="shared" si="27"/>
        <v>20</v>
      </c>
      <c r="C203" t="str">
        <f t="shared" si="28"/>
        <v>2020/21</v>
      </c>
      <c r="E203" t="str">
        <f t="shared" si="29"/>
        <v/>
      </c>
      <c r="F203" t="s">
        <v>25</v>
      </c>
      <c r="G203" t="s">
        <v>22</v>
      </c>
      <c r="H203">
        <v>-8003.47</v>
      </c>
      <c r="I203" t="str">
        <f t="shared" si="30"/>
        <v>Anchor Trust</v>
      </c>
      <c r="J203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04" spans="1:10" x14ac:dyDescent="0.35">
      <c r="A204" t="str">
        <f t="shared" si="26"/>
        <v>APR</v>
      </c>
      <c r="B204" t="str">
        <f t="shared" si="27"/>
        <v>20</v>
      </c>
      <c r="C204" t="str">
        <f t="shared" si="28"/>
        <v>2020/21</v>
      </c>
      <c r="E204" t="str">
        <f t="shared" si="29"/>
        <v/>
      </c>
      <c r="F204" t="s">
        <v>25</v>
      </c>
      <c r="G204" t="s">
        <v>22</v>
      </c>
      <c r="H204">
        <v>-4336.43</v>
      </c>
      <c r="I204" t="str">
        <f t="shared" si="30"/>
        <v>Anchor Trust</v>
      </c>
      <c r="J204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05" spans="1:10" x14ac:dyDescent="0.35">
      <c r="A205" t="str">
        <f t="shared" si="26"/>
        <v>APR</v>
      </c>
      <c r="B205" t="str">
        <f t="shared" si="27"/>
        <v>20</v>
      </c>
      <c r="C205" t="str">
        <f t="shared" si="28"/>
        <v>2020/21</v>
      </c>
      <c r="E205" t="str">
        <f t="shared" si="29"/>
        <v/>
      </c>
      <c r="F205" t="s">
        <v>25</v>
      </c>
      <c r="G205" t="s">
        <v>22</v>
      </c>
      <c r="H205">
        <v>-4771.74</v>
      </c>
      <c r="I205" t="str">
        <f t="shared" si="30"/>
        <v>Anchor Trust</v>
      </c>
      <c r="J205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06" spans="1:10" x14ac:dyDescent="0.35">
      <c r="A206" t="str">
        <f t="shared" si="26"/>
        <v>APR</v>
      </c>
      <c r="B206" t="str">
        <f t="shared" si="27"/>
        <v>20</v>
      </c>
      <c r="C206" t="str">
        <f t="shared" si="28"/>
        <v>2020/21</v>
      </c>
      <c r="E206" t="str">
        <f t="shared" si="29"/>
        <v/>
      </c>
      <c r="F206" t="s">
        <v>25</v>
      </c>
      <c r="G206" t="s">
        <v>22</v>
      </c>
      <c r="H206">
        <v>-3552.68</v>
      </c>
      <c r="I206" t="str">
        <f t="shared" si="30"/>
        <v>Anchor Trust</v>
      </c>
      <c r="J206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07" spans="1:10" x14ac:dyDescent="0.35">
      <c r="A207" t="str">
        <f t="shared" si="26"/>
        <v>APR</v>
      </c>
      <c r="B207" t="str">
        <f t="shared" si="27"/>
        <v>20</v>
      </c>
      <c r="C207" t="str">
        <f t="shared" si="28"/>
        <v>2020/21</v>
      </c>
      <c r="E207" t="str">
        <f t="shared" si="29"/>
        <v/>
      </c>
      <c r="F207" t="s">
        <v>25</v>
      </c>
      <c r="G207" t="s">
        <v>22</v>
      </c>
      <c r="H207">
        <v>14513.08</v>
      </c>
      <c r="I207" t="str">
        <f>"The Mayfield Trust"</f>
        <v>The Mayfield Trust</v>
      </c>
      <c r="J207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208" spans="1:10" x14ac:dyDescent="0.35">
      <c r="A208" t="str">
        <f t="shared" si="26"/>
        <v>APR</v>
      </c>
      <c r="B208" t="str">
        <f t="shared" si="27"/>
        <v>20</v>
      </c>
      <c r="C208" t="str">
        <f t="shared" si="28"/>
        <v>2020/21</v>
      </c>
      <c r="E208" t="str">
        <f t="shared" si="29"/>
        <v/>
      </c>
      <c r="F208" t="s">
        <v>25</v>
      </c>
      <c r="G208" t="s">
        <v>22</v>
      </c>
      <c r="H208">
        <v>14727.56</v>
      </c>
      <c r="I208" t="str">
        <f>"The Mayfield Trust"</f>
        <v>The Mayfield Trust</v>
      </c>
      <c r="J208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209" spans="1:10" x14ac:dyDescent="0.35">
      <c r="A209" t="str">
        <f t="shared" si="26"/>
        <v>APR</v>
      </c>
      <c r="B209" t="str">
        <f t="shared" si="27"/>
        <v>20</v>
      </c>
      <c r="C209" t="str">
        <f t="shared" si="28"/>
        <v>2020/21</v>
      </c>
      <c r="E209" t="str">
        <f t="shared" si="29"/>
        <v/>
      </c>
      <c r="F209" t="s">
        <v>25</v>
      </c>
      <c r="G209" t="s">
        <v>22</v>
      </c>
      <c r="H209">
        <v>2516.92</v>
      </c>
      <c r="I209" t="str">
        <f t="shared" ref="I209:I218" si="31">"Bridgewood Trust Ltd"</f>
        <v>Bridgewood Trust Ltd</v>
      </c>
      <c r="J209" t="str">
        <f t="shared" ref="J209:J220" si="32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210" spans="1:10" x14ac:dyDescent="0.35">
      <c r="A210" t="str">
        <f t="shared" si="26"/>
        <v>APR</v>
      </c>
      <c r="B210" t="str">
        <f t="shared" si="27"/>
        <v>20</v>
      </c>
      <c r="C210" t="str">
        <f t="shared" si="28"/>
        <v>2020/21</v>
      </c>
      <c r="E210" t="str">
        <f t="shared" si="29"/>
        <v/>
      </c>
      <c r="F210" t="s">
        <v>25</v>
      </c>
      <c r="G210" t="s">
        <v>22</v>
      </c>
      <c r="H210">
        <v>13228.64</v>
      </c>
      <c r="I210" t="str">
        <f t="shared" si="31"/>
        <v>Bridgewood Trust Ltd</v>
      </c>
      <c r="J210" t="str">
        <f t="shared" si="32"/>
        <v>Residential Placements (Learning Disabilities)-Voluntary Home Voluntary Associations Agency And Contracted Services Residential &amp; Nursing Placem</v>
      </c>
    </row>
    <row r="211" spans="1:10" x14ac:dyDescent="0.35">
      <c r="A211" t="str">
        <f t="shared" si="26"/>
        <v>APR</v>
      </c>
      <c r="B211" t="str">
        <f t="shared" si="27"/>
        <v>20</v>
      </c>
      <c r="C211" t="str">
        <f t="shared" si="28"/>
        <v>2020/21</v>
      </c>
      <c r="E211" t="str">
        <f t="shared" si="29"/>
        <v/>
      </c>
      <c r="F211" t="s">
        <v>25</v>
      </c>
      <c r="G211" t="s">
        <v>22</v>
      </c>
      <c r="H211">
        <v>1823.02</v>
      </c>
      <c r="I211" t="str">
        <f t="shared" si="31"/>
        <v>Bridgewood Trust Ltd</v>
      </c>
      <c r="J211" t="str">
        <f t="shared" si="32"/>
        <v>Residential Placements (Learning Disabilities)-Voluntary Home Voluntary Associations Agency And Contracted Services Residential &amp; Nursing Placem</v>
      </c>
    </row>
    <row r="212" spans="1:10" x14ac:dyDescent="0.35">
      <c r="A212" t="str">
        <f t="shared" si="26"/>
        <v>APR</v>
      </c>
      <c r="B212" t="str">
        <f t="shared" si="27"/>
        <v>20</v>
      </c>
      <c r="C212" t="str">
        <f t="shared" si="28"/>
        <v>2020/21</v>
      </c>
      <c r="E212" t="str">
        <f t="shared" si="29"/>
        <v/>
      </c>
      <c r="F212" t="s">
        <v>25</v>
      </c>
      <c r="G212" t="s">
        <v>22</v>
      </c>
      <c r="H212">
        <v>2107.1</v>
      </c>
      <c r="I212" t="str">
        <f t="shared" si="31"/>
        <v>Bridgewood Trust Ltd</v>
      </c>
      <c r="J212" t="str">
        <f t="shared" si="32"/>
        <v>Residential Placements (Learning Disabilities)-Voluntary Home Voluntary Associations Agency And Contracted Services Residential &amp; Nursing Placem</v>
      </c>
    </row>
    <row r="213" spans="1:10" x14ac:dyDescent="0.35">
      <c r="A213" t="str">
        <f t="shared" si="26"/>
        <v>APR</v>
      </c>
      <c r="B213" t="str">
        <f t="shared" si="27"/>
        <v>20</v>
      </c>
      <c r="C213" t="str">
        <f t="shared" si="28"/>
        <v>2020/21</v>
      </c>
      <c r="E213" t="str">
        <f t="shared" si="29"/>
        <v/>
      </c>
      <c r="F213" t="s">
        <v>25</v>
      </c>
      <c r="G213" t="s">
        <v>22</v>
      </c>
      <c r="H213">
        <v>27360.12</v>
      </c>
      <c r="I213" t="str">
        <f t="shared" si="31"/>
        <v>Bridgewood Trust Ltd</v>
      </c>
      <c r="J213" t="str">
        <f t="shared" si="32"/>
        <v>Residential Placements (Learning Disabilities)-Voluntary Home Voluntary Associations Agency And Contracted Services Residential &amp; Nursing Placem</v>
      </c>
    </row>
    <row r="214" spans="1:10" x14ac:dyDescent="0.35">
      <c r="A214" t="str">
        <f t="shared" si="26"/>
        <v>APR</v>
      </c>
      <c r="B214" t="str">
        <f t="shared" si="27"/>
        <v>20</v>
      </c>
      <c r="C214" t="str">
        <f t="shared" si="28"/>
        <v>2020/21</v>
      </c>
      <c r="E214" t="str">
        <f t="shared" si="29"/>
        <v/>
      </c>
      <c r="F214" t="s">
        <v>25</v>
      </c>
      <c r="G214" t="s">
        <v>22</v>
      </c>
      <c r="H214">
        <v>2554.12</v>
      </c>
      <c r="I214" t="str">
        <f t="shared" si="31"/>
        <v>Bridgewood Trust Ltd</v>
      </c>
      <c r="J214" t="str">
        <f t="shared" si="32"/>
        <v>Residential Placements (Learning Disabilities)-Voluntary Home Voluntary Associations Agency And Contracted Services Residential &amp; Nursing Placem</v>
      </c>
    </row>
    <row r="215" spans="1:10" x14ac:dyDescent="0.35">
      <c r="A215" t="str">
        <f t="shared" si="26"/>
        <v>APR</v>
      </c>
      <c r="B215" t="str">
        <f t="shared" si="27"/>
        <v>20</v>
      </c>
      <c r="C215" t="str">
        <f t="shared" si="28"/>
        <v>2020/21</v>
      </c>
      <c r="E215" t="str">
        <f t="shared" si="29"/>
        <v/>
      </c>
      <c r="F215" t="s">
        <v>25</v>
      </c>
      <c r="G215" t="s">
        <v>22</v>
      </c>
      <c r="H215">
        <v>13424.16</v>
      </c>
      <c r="I215" t="str">
        <f t="shared" si="31"/>
        <v>Bridgewood Trust Ltd</v>
      </c>
      <c r="J215" t="str">
        <f t="shared" si="32"/>
        <v>Residential Placements (Learning Disabilities)-Voluntary Home Voluntary Associations Agency And Contracted Services Residential &amp; Nursing Placem</v>
      </c>
    </row>
    <row r="216" spans="1:10" x14ac:dyDescent="0.35">
      <c r="A216" t="str">
        <f t="shared" si="26"/>
        <v>APR</v>
      </c>
      <c r="B216" t="str">
        <f t="shared" si="27"/>
        <v>20</v>
      </c>
      <c r="C216" t="str">
        <f t="shared" si="28"/>
        <v>2020/21</v>
      </c>
      <c r="E216" t="str">
        <f t="shared" si="29"/>
        <v/>
      </c>
      <c r="F216" t="s">
        <v>25</v>
      </c>
      <c r="G216" t="s">
        <v>22</v>
      </c>
      <c r="H216">
        <v>1849.96</v>
      </c>
      <c r="I216" t="str">
        <f t="shared" si="31"/>
        <v>Bridgewood Trust Ltd</v>
      </c>
      <c r="J216" t="str">
        <f t="shared" si="32"/>
        <v>Residential Placements (Learning Disabilities)-Voluntary Home Voluntary Associations Agency And Contracted Services Residential &amp; Nursing Placem</v>
      </c>
    </row>
    <row r="217" spans="1:10" x14ac:dyDescent="0.35">
      <c r="A217" t="str">
        <f t="shared" si="26"/>
        <v>APR</v>
      </c>
      <c r="B217" t="str">
        <f t="shared" si="27"/>
        <v>20</v>
      </c>
      <c r="C217" t="str">
        <f t="shared" si="28"/>
        <v>2020/21</v>
      </c>
      <c r="E217" t="str">
        <f t="shared" si="29"/>
        <v/>
      </c>
      <c r="F217" t="s">
        <v>25</v>
      </c>
      <c r="G217" t="s">
        <v>22</v>
      </c>
      <c r="H217">
        <v>2138.2399999999998</v>
      </c>
      <c r="I217" t="str">
        <f t="shared" si="31"/>
        <v>Bridgewood Trust Ltd</v>
      </c>
      <c r="J217" t="str">
        <f t="shared" si="32"/>
        <v>Residential Placements (Learning Disabilities)-Voluntary Home Voluntary Associations Agency And Contracted Services Residential &amp; Nursing Placem</v>
      </c>
    </row>
    <row r="218" spans="1:10" x14ac:dyDescent="0.35">
      <c r="A218" t="str">
        <f t="shared" si="26"/>
        <v>APR</v>
      </c>
      <c r="B218" t="str">
        <f t="shared" si="27"/>
        <v>20</v>
      </c>
      <c r="C218" t="str">
        <f t="shared" si="28"/>
        <v>2020/21</v>
      </c>
      <c r="E218" t="str">
        <f t="shared" si="29"/>
        <v/>
      </c>
      <c r="F218" t="s">
        <v>25</v>
      </c>
      <c r="G218" t="s">
        <v>22</v>
      </c>
      <c r="H218">
        <v>27764.48</v>
      </c>
      <c r="I218" t="str">
        <f t="shared" si="31"/>
        <v>Bridgewood Trust Ltd</v>
      </c>
      <c r="J218" t="str">
        <f t="shared" si="32"/>
        <v>Residential Placements (Learning Disabilities)-Voluntary Home Voluntary Associations Agency And Contracted Services Residential &amp; Nursing Placem</v>
      </c>
    </row>
    <row r="219" spans="1:10" x14ac:dyDescent="0.35">
      <c r="A219" t="str">
        <f t="shared" si="26"/>
        <v>APR</v>
      </c>
      <c r="B219" t="str">
        <f t="shared" si="27"/>
        <v>20</v>
      </c>
      <c r="C219" t="str">
        <f t="shared" si="28"/>
        <v>2020/21</v>
      </c>
      <c r="E219" t="str">
        <f t="shared" si="29"/>
        <v/>
      </c>
      <c r="F219" t="s">
        <v>25</v>
      </c>
      <c r="G219" t="s">
        <v>22</v>
      </c>
      <c r="H219">
        <v>6781.82</v>
      </c>
      <c r="I219" t="str">
        <f>"The Mayfield Trust"</f>
        <v>The Mayfield Trust</v>
      </c>
      <c r="J219" t="str">
        <f t="shared" si="32"/>
        <v>Residential Placements (Learning Disabilities)-Voluntary Home Voluntary Associations Agency And Contracted Services Residential &amp; Nursing Placem</v>
      </c>
    </row>
    <row r="220" spans="1:10" x14ac:dyDescent="0.35">
      <c r="A220" t="str">
        <f t="shared" si="26"/>
        <v>APR</v>
      </c>
      <c r="B220" t="str">
        <f t="shared" si="27"/>
        <v>20</v>
      </c>
      <c r="C220" t="str">
        <f t="shared" si="28"/>
        <v>2020/21</v>
      </c>
      <c r="E220" t="str">
        <f t="shared" si="29"/>
        <v/>
      </c>
      <c r="F220" t="s">
        <v>25</v>
      </c>
      <c r="G220" t="s">
        <v>22</v>
      </c>
      <c r="H220">
        <v>6882.04</v>
      </c>
      <c r="I220" t="str">
        <f>"The Mayfield Trust"</f>
        <v>The Mayfield Trust</v>
      </c>
      <c r="J220" t="str">
        <f t="shared" si="32"/>
        <v>Residential Placements (Learning Disabilities)-Voluntary Home Voluntary Associations Agency And Contracted Services Residential &amp; Nursing Placem</v>
      </c>
    </row>
    <row r="221" spans="1:10" x14ac:dyDescent="0.35">
      <c r="A221" t="str">
        <f t="shared" si="26"/>
        <v>APR</v>
      </c>
      <c r="B221" t="str">
        <f t="shared" si="27"/>
        <v>20</v>
      </c>
      <c r="C221" t="str">
        <f t="shared" si="28"/>
        <v>2020/21</v>
      </c>
      <c r="E221" t="str">
        <f t="shared" si="29"/>
        <v/>
      </c>
      <c r="F221" t="s">
        <v>25</v>
      </c>
      <c r="G221" t="s">
        <v>22</v>
      </c>
      <c r="H221">
        <v>5436.82</v>
      </c>
      <c r="I221" t="str">
        <f>"Henshaws Society For Blind People re Red Admiral"</f>
        <v>Henshaws Society For Blind People re Red Admiral</v>
      </c>
      <c r="J221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222" spans="1:10" x14ac:dyDescent="0.35">
      <c r="A222" t="str">
        <f t="shared" si="26"/>
        <v>APR</v>
      </c>
      <c r="B222" t="str">
        <f t="shared" si="27"/>
        <v>20</v>
      </c>
      <c r="C222" t="str">
        <f t="shared" si="28"/>
        <v>2020/21</v>
      </c>
      <c r="E222" t="str">
        <f t="shared" si="29"/>
        <v/>
      </c>
      <c r="F222" t="s">
        <v>25</v>
      </c>
      <c r="G222" t="s">
        <v>22</v>
      </c>
      <c r="H222">
        <v>5517.16</v>
      </c>
      <c r="I222" t="str">
        <f>"Henshaws Society For Blind People re Red Admiral"</f>
        <v>Henshaws Society For Blind People re Red Admiral</v>
      </c>
      <c r="J222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223" spans="1:10" x14ac:dyDescent="0.35">
      <c r="A223" t="str">
        <f t="shared" si="26"/>
        <v>APR</v>
      </c>
      <c r="B223" t="str">
        <f t="shared" si="27"/>
        <v>20</v>
      </c>
      <c r="C223" t="str">
        <f t="shared" si="28"/>
        <v>2020/21</v>
      </c>
      <c r="E223" t="str">
        <f t="shared" si="29"/>
        <v/>
      </c>
      <c r="F223" t="s">
        <v>25</v>
      </c>
      <c r="G223" t="s">
        <v>22</v>
      </c>
      <c r="H223">
        <v>-837.2</v>
      </c>
      <c r="I223" t="str">
        <f>"The Mayfield Trust"</f>
        <v>The Mayfield Trust</v>
      </c>
      <c r="J223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224" spans="1:10" x14ac:dyDescent="0.35">
      <c r="A224" t="str">
        <f t="shared" si="26"/>
        <v>APR</v>
      </c>
      <c r="B224" t="str">
        <f t="shared" si="27"/>
        <v>20</v>
      </c>
      <c r="C224" t="str">
        <f t="shared" si="28"/>
        <v>2020/21</v>
      </c>
      <c r="E224" t="str">
        <f t="shared" si="29"/>
        <v/>
      </c>
      <c r="F224" t="s">
        <v>25</v>
      </c>
      <c r="G224" t="s">
        <v>22</v>
      </c>
      <c r="H224">
        <v>-846</v>
      </c>
      <c r="I224" t="str">
        <f>"The Mayfield Trust"</f>
        <v>The Mayfield Trust</v>
      </c>
      <c r="J224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225" spans="1:10" x14ac:dyDescent="0.35">
      <c r="A225" t="str">
        <f t="shared" si="26"/>
        <v>APR</v>
      </c>
      <c r="B225" t="str">
        <f t="shared" si="27"/>
        <v>20</v>
      </c>
      <c r="C225" t="str">
        <f t="shared" si="28"/>
        <v>2020/21</v>
      </c>
      <c r="E225" t="str">
        <f t="shared" si="29"/>
        <v/>
      </c>
      <c r="F225" t="s">
        <v>25</v>
      </c>
      <c r="G225" t="s">
        <v>22</v>
      </c>
      <c r="H225">
        <v>-418.6</v>
      </c>
      <c r="I225" t="str">
        <f t="shared" ref="I225:I234" si="33">"Bridgewood Trust Ltd"</f>
        <v>Bridgewood Trust Ltd</v>
      </c>
      <c r="J225" t="str">
        <f t="shared" ref="J225:J238" si="34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226" spans="1:10" x14ac:dyDescent="0.35">
      <c r="A226" t="str">
        <f t="shared" si="26"/>
        <v>APR</v>
      </c>
      <c r="B226" t="str">
        <f t="shared" si="27"/>
        <v>20</v>
      </c>
      <c r="C226" t="str">
        <f t="shared" si="28"/>
        <v>2020/21</v>
      </c>
      <c r="E226" t="str">
        <f t="shared" si="29"/>
        <v/>
      </c>
      <c r="F226" t="s">
        <v>25</v>
      </c>
      <c r="G226" t="s">
        <v>22</v>
      </c>
      <c r="H226">
        <v>-1674.4</v>
      </c>
      <c r="I226" t="str">
        <f t="shared" si="33"/>
        <v>Bridgewood Trust Ltd</v>
      </c>
      <c r="J226" t="str">
        <f t="shared" si="34"/>
        <v>Residential - Income Residential Placements Customer And Client Receipts Income Residential &amp; Nursing Placements (Learning Dis) Adult Health &amp; S</v>
      </c>
    </row>
    <row r="227" spans="1:10" x14ac:dyDescent="0.35">
      <c r="A227" t="str">
        <f t="shared" si="26"/>
        <v>APR</v>
      </c>
      <c r="B227" t="str">
        <f t="shared" si="27"/>
        <v>20</v>
      </c>
      <c r="C227" t="str">
        <f t="shared" si="28"/>
        <v>2020/21</v>
      </c>
      <c r="E227" t="str">
        <f t="shared" si="29"/>
        <v/>
      </c>
      <c r="F227" t="s">
        <v>25</v>
      </c>
      <c r="G227" t="s">
        <v>22</v>
      </c>
      <c r="H227">
        <v>-582.4</v>
      </c>
      <c r="I227" t="str">
        <f t="shared" si="33"/>
        <v>Bridgewood Trust Ltd</v>
      </c>
      <c r="J227" t="str">
        <f t="shared" si="34"/>
        <v>Residential - Income Residential Placements Customer And Client Receipts Income Residential &amp; Nursing Placements (Learning Dis) Adult Health &amp; S</v>
      </c>
    </row>
    <row r="228" spans="1:10" x14ac:dyDescent="0.35">
      <c r="A228" t="str">
        <f t="shared" si="26"/>
        <v>APR</v>
      </c>
      <c r="B228" t="str">
        <f t="shared" si="27"/>
        <v>20</v>
      </c>
      <c r="C228" t="str">
        <f t="shared" si="28"/>
        <v>2020/21</v>
      </c>
      <c r="E228" t="str">
        <f t="shared" si="29"/>
        <v/>
      </c>
      <c r="F228" t="s">
        <v>25</v>
      </c>
      <c r="G228" t="s">
        <v>22</v>
      </c>
      <c r="H228">
        <v>-418.6</v>
      </c>
      <c r="I228" t="str">
        <f t="shared" si="33"/>
        <v>Bridgewood Trust Ltd</v>
      </c>
      <c r="J228" t="str">
        <f t="shared" si="34"/>
        <v>Residential - Income Residential Placements Customer And Client Receipts Income Residential &amp; Nursing Placements (Learning Dis) Adult Health &amp; S</v>
      </c>
    </row>
    <row r="229" spans="1:10" x14ac:dyDescent="0.35">
      <c r="A229" t="str">
        <f t="shared" si="26"/>
        <v>APR</v>
      </c>
      <c r="B229" t="str">
        <f t="shared" si="27"/>
        <v>20</v>
      </c>
      <c r="C229" t="str">
        <f t="shared" si="28"/>
        <v>2020/21</v>
      </c>
      <c r="E229" t="str">
        <f t="shared" si="29"/>
        <v/>
      </c>
      <c r="F229" t="s">
        <v>25</v>
      </c>
      <c r="G229" t="s">
        <v>22</v>
      </c>
      <c r="H229">
        <v>-4419.1000000000004</v>
      </c>
      <c r="I229" t="str">
        <f t="shared" si="33"/>
        <v>Bridgewood Trust Ltd</v>
      </c>
      <c r="J229" t="str">
        <f t="shared" si="34"/>
        <v>Residential - Income Residential Placements Customer And Client Receipts Income Residential &amp; Nursing Placements (Learning Dis) Adult Health &amp; S</v>
      </c>
    </row>
    <row r="230" spans="1:10" x14ac:dyDescent="0.35">
      <c r="A230" t="str">
        <f t="shared" si="26"/>
        <v>APR</v>
      </c>
      <c r="B230" t="str">
        <f t="shared" si="27"/>
        <v>20</v>
      </c>
      <c r="C230" t="str">
        <f t="shared" si="28"/>
        <v>2020/21</v>
      </c>
      <c r="E230" t="str">
        <f t="shared" si="29"/>
        <v/>
      </c>
      <c r="F230" t="s">
        <v>25</v>
      </c>
      <c r="G230" t="s">
        <v>22</v>
      </c>
      <c r="H230">
        <v>-423</v>
      </c>
      <c r="I230" t="str">
        <f t="shared" si="33"/>
        <v>Bridgewood Trust Ltd</v>
      </c>
      <c r="J230" t="str">
        <f t="shared" si="34"/>
        <v>Residential - Income Residential Placements Customer And Client Receipts Income Residential &amp; Nursing Placements (Learning Dis) Adult Health &amp; S</v>
      </c>
    </row>
    <row r="231" spans="1:10" x14ac:dyDescent="0.35">
      <c r="A231" t="str">
        <f t="shared" si="26"/>
        <v>APR</v>
      </c>
      <c r="B231" t="str">
        <f t="shared" si="27"/>
        <v>20</v>
      </c>
      <c r="C231" t="str">
        <f t="shared" si="28"/>
        <v>2020/21</v>
      </c>
      <c r="E231" t="str">
        <f t="shared" si="29"/>
        <v/>
      </c>
      <c r="F231" t="s">
        <v>25</v>
      </c>
      <c r="G231" t="s">
        <v>22</v>
      </c>
      <c r="H231">
        <v>-1692</v>
      </c>
      <c r="I231" t="str">
        <f t="shared" si="33"/>
        <v>Bridgewood Trust Ltd</v>
      </c>
      <c r="J231" t="str">
        <f t="shared" si="34"/>
        <v>Residential - Income Residential Placements Customer And Client Receipts Income Residential &amp; Nursing Placements (Learning Dis) Adult Health &amp; S</v>
      </c>
    </row>
    <row r="232" spans="1:10" x14ac:dyDescent="0.35">
      <c r="A232" t="str">
        <f t="shared" si="26"/>
        <v>APR</v>
      </c>
      <c r="B232" t="str">
        <f t="shared" si="27"/>
        <v>20</v>
      </c>
      <c r="C232" t="str">
        <f t="shared" si="28"/>
        <v>2020/21</v>
      </c>
      <c r="E232" t="str">
        <f t="shared" si="29"/>
        <v/>
      </c>
      <c r="F232" t="s">
        <v>25</v>
      </c>
      <c r="G232" t="s">
        <v>22</v>
      </c>
      <c r="H232">
        <v>-595.4</v>
      </c>
      <c r="I232" t="str">
        <f t="shared" si="33"/>
        <v>Bridgewood Trust Ltd</v>
      </c>
      <c r="J232" t="str">
        <f t="shared" si="34"/>
        <v>Residential - Income Residential Placements Customer And Client Receipts Income Residential &amp; Nursing Placements (Learning Dis) Adult Health &amp; S</v>
      </c>
    </row>
    <row r="233" spans="1:10" x14ac:dyDescent="0.35">
      <c r="A233" t="str">
        <f t="shared" si="26"/>
        <v>APR</v>
      </c>
      <c r="B233" t="str">
        <f t="shared" si="27"/>
        <v>20</v>
      </c>
      <c r="C233" t="str">
        <f t="shared" si="28"/>
        <v>2020/21</v>
      </c>
      <c r="E233" t="str">
        <f t="shared" si="29"/>
        <v/>
      </c>
      <c r="F233" t="s">
        <v>25</v>
      </c>
      <c r="G233" t="s">
        <v>22</v>
      </c>
      <c r="H233">
        <v>-423</v>
      </c>
      <c r="I233" t="str">
        <f t="shared" si="33"/>
        <v>Bridgewood Trust Ltd</v>
      </c>
      <c r="J233" t="str">
        <f t="shared" si="34"/>
        <v>Residential - Income Residential Placements Customer And Client Receipts Income Residential &amp; Nursing Placements (Learning Dis) Adult Health &amp; S</v>
      </c>
    </row>
    <row r="234" spans="1:10" x14ac:dyDescent="0.35">
      <c r="A234" t="str">
        <f t="shared" si="26"/>
        <v>APR</v>
      </c>
      <c r="B234" t="str">
        <f t="shared" si="27"/>
        <v>20</v>
      </c>
      <c r="C234" t="str">
        <f t="shared" si="28"/>
        <v>2020/21</v>
      </c>
      <c r="E234" t="str">
        <f t="shared" si="29"/>
        <v/>
      </c>
      <c r="F234" t="s">
        <v>25</v>
      </c>
      <c r="G234" t="s">
        <v>22</v>
      </c>
      <c r="H234">
        <v>-4483.72</v>
      </c>
      <c r="I234" t="str">
        <f t="shared" si="33"/>
        <v>Bridgewood Trust Ltd</v>
      </c>
      <c r="J234" t="str">
        <f t="shared" si="34"/>
        <v>Residential - Income Residential Placements Customer And Client Receipts Income Residential &amp; Nursing Placements (Learning Dis) Adult Health &amp; S</v>
      </c>
    </row>
    <row r="235" spans="1:10" x14ac:dyDescent="0.35">
      <c r="A235" t="str">
        <f t="shared" si="26"/>
        <v>APR</v>
      </c>
      <c r="B235" t="str">
        <f t="shared" si="27"/>
        <v>20</v>
      </c>
      <c r="C235" t="str">
        <f t="shared" si="28"/>
        <v>2020/21</v>
      </c>
      <c r="E235" t="str">
        <f t="shared" si="29"/>
        <v/>
      </c>
      <c r="F235" t="s">
        <v>25</v>
      </c>
      <c r="G235" t="s">
        <v>22</v>
      </c>
      <c r="H235">
        <v>-418.6</v>
      </c>
      <c r="I235" t="str">
        <f>"The Mayfield Trust"</f>
        <v>The Mayfield Trust</v>
      </c>
      <c r="J235" t="str">
        <f t="shared" si="34"/>
        <v>Residential - Income Residential Placements Customer And Client Receipts Income Residential &amp; Nursing Placements (Learning Dis) Adult Health &amp; S</v>
      </c>
    </row>
    <row r="236" spans="1:10" x14ac:dyDescent="0.35">
      <c r="A236" t="str">
        <f t="shared" si="26"/>
        <v>APR</v>
      </c>
      <c r="B236" t="str">
        <f t="shared" si="27"/>
        <v>20</v>
      </c>
      <c r="C236" t="str">
        <f t="shared" si="28"/>
        <v>2020/21</v>
      </c>
      <c r="E236" t="str">
        <f t="shared" si="29"/>
        <v/>
      </c>
      <c r="F236" t="s">
        <v>25</v>
      </c>
      <c r="G236" t="s">
        <v>22</v>
      </c>
      <c r="H236">
        <v>-423</v>
      </c>
      <c r="I236" t="str">
        <f>"The Mayfield Trust"</f>
        <v>The Mayfield Trust</v>
      </c>
      <c r="J236" t="str">
        <f t="shared" si="34"/>
        <v>Residential - Income Residential Placements Customer And Client Receipts Income Residential &amp; Nursing Placements (Learning Dis) Adult Health &amp; S</v>
      </c>
    </row>
    <row r="237" spans="1:10" x14ac:dyDescent="0.35">
      <c r="A237" t="str">
        <f t="shared" si="26"/>
        <v>APR</v>
      </c>
      <c r="B237" t="str">
        <f t="shared" si="27"/>
        <v>20</v>
      </c>
      <c r="C237" t="str">
        <f t="shared" si="28"/>
        <v>2020/21</v>
      </c>
      <c r="E237" t="str">
        <f t="shared" si="29"/>
        <v/>
      </c>
      <c r="F237" t="s">
        <v>25</v>
      </c>
      <c r="G237" t="s">
        <v>22</v>
      </c>
      <c r="H237">
        <v>-418.6</v>
      </c>
      <c r="I237" t="str">
        <f>"Henshaws Society For Blind People re Red Admiral"</f>
        <v>Henshaws Society For Blind People re Red Admiral</v>
      </c>
      <c r="J237" t="str">
        <f t="shared" si="34"/>
        <v>Residential - Income Residential Placements Customer And Client Receipts Income Residential &amp; Nursing Placements (Learning Dis) Adult Health &amp; S</v>
      </c>
    </row>
    <row r="238" spans="1:10" x14ac:dyDescent="0.35">
      <c r="A238" t="str">
        <f t="shared" si="26"/>
        <v>APR</v>
      </c>
      <c r="B238" t="str">
        <f t="shared" si="27"/>
        <v>20</v>
      </c>
      <c r="C238" t="str">
        <f t="shared" si="28"/>
        <v>2020/21</v>
      </c>
      <c r="E238" t="str">
        <f t="shared" si="29"/>
        <v/>
      </c>
      <c r="F238" t="s">
        <v>25</v>
      </c>
      <c r="G238" t="s">
        <v>22</v>
      </c>
      <c r="H238">
        <v>-423</v>
      </c>
      <c r="I238" t="str">
        <f>"Henshaws Society For Blind People re Red Admiral"</f>
        <v>Henshaws Society For Blind People re Red Admiral</v>
      </c>
      <c r="J238" t="str">
        <f t="shared" si="34"/>
        <v>Residential - Income Residential Placements Customer And Client Receipts Income Residential &amp; Nursing Placements (Learning Dis) Adult Health &amp; S</v>
      </c>
    </row>
    <row r="239" spans="1:10" x14ac:dyDescent="0.35">
      <c r="A239" t="str">
        <f t="shared" si="26"/>
        <v>APR</v>
      </c>
      <c r="B239" t="str">
        <f t="shared" si="27"/>
        <v>20</v>
      </c>
      <c r="C239" t="str">
        <f t="shared" si="28"/>
        <v>2020/21</v>
      </c>
      <c r="D239" t="str">
        <f>"SS CO 113449"</f>
        <v>SS CO 113449</v>
      </c>
      <c r="E239" t="str">
        <f t="shared" si="29"/>
        <v>SS</v>
      </c>
      <c r="F239" t="s">
        <v>25</v>
      </c>
      <c r="G239" t="s">
        <v>22</v>
      </c>
      <c r="H239">
        <v>21247.5</v>
      </c>
      <c r="I239" t="str">
        <f>"Voluntary Action Calderdale"</f>
        <v>Voluntary Action Calderdale</v>
      </c>
      <c r="J239" t="str">
        <f>"Bill and Molly Scheme (iBCF) Services Supplies And Services Older People Commissioning Budget Adult Health &amp; Social Care"</f>
        <v>Bill and Molly Scheme (iBCF) Services Supplies And Services Older People Commissioning Budget Adult Health &amp; Social Care</v>
      </c>
    </row>
    <row r="240" spans="1:10" x14ac:dyDescent="0.35">
      <c r="A240" t="str">
        <f t="shared" si="26"/>
        <v>APR</v>
      </c>
      <c r="B240" t="str">
        <f t="shared" si="27"/>
        <v>20</v>
      </c>
      <c r="C240" t="str">
        <f t="shared" si="28"/>
        <v>2020/21</v>
      </c>
      <c r="D240" t="str">
        <f>"SS CO 108946"</f>
        <v>SS CO 108946</v>
      </c>
      <c r="E240" t="str">
        <f t="shared" si="29"/>
        <v>SS</v>
      </c>
      <c r="F240" t="s">
        <v>25</v>
      </c>
      <c r="G240" t="s">
        <v>22</v>
      </c>
      <c r="H240">
        <v>2281.29</v>
      </c>
      <c r="I240" t="str">
        <f>"Cloverleaf Advocacy 2000 Ltd"</f>
        <v>Cloverleaf Advocacy 2000 Ltd</v>
      </c>
      <c r="J240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241" spans="1:10" x14ac:dyDescent="0.35">
      <c r="A241" t="str">
        <f t="shared" si="26"/>
        <v>APR</v>
      </c>
      <c r="B241" t="str">
        <f t="shared" si="27"/>
        <v>20</v>
      </c>
      <c r="C241" t="str">
        <f t="shared" si="28"/>
        <v>2020/21</v>
      </c>
      <c r="D241" t="str">
        <f>"LS CF 205006"</f>
        <v>LS CF 205006</v>
      </c>
      <c r="E241" t="str">
        <f t="shared" si="29"/>
        <v>LS</v>
      </c>
      <c r="F241" t="s">
        <v>35</v>
      </c>
      <c r="G241" t="s">
        <v>14</v>
      </c>
      <c r="H241">
        <v>16000</v>
      </c>
      <c r="I241" t="str">
        <f>"Bradford MDC - Pennine Prospects"</f>
        <v>Bradford MDC - Pennine Prospects</v>
      </c>
      <c r="J241" t="str">
        <f>"Subscriptions - General Grants And Subscriptions Supplies And Services Countryside Service Green Space and Street Scene"</f>
        <v>Subscriptions - General Grants And Subscriptions Supplies And Services Countryside Service Green Space and Street Scene</v>
      </c>
    </row>
    <row r="242" spans="1:10" x14ac:dyDescent="0.35">
      <c r="A242" t="str">
        <f t="shared" si="26"/>
        <v>APR</v>
      </c>
      <c r="B242" t="str">
        <f t="shared" si="27"/>
        <v>20</v>
      </c>
      <c r="C242" t="str">
        <f t="shared" si="28"/>
        <v>2020/21</v>
      </c>
      <c r="D242" t="str">
        <f>"LS HO 205107"</f>
        <v>LS HO 205107</v>
      </c>
      <c r="E242" t="str">
        <f t="shared" si="29"/>
        <v>LS</v>
      </c>
      <c r="F242" t="s">
        <v>35</v>
      </c>
      <c r="G242" t="s">
        <v>14</v>
      </c>
      <c r="H242">
        <v>5</v>
      </c>
      <c r="I242" t="str">
        <f>"Canal &amp; River Trust (British Waterways)"</f>
        <v>Canal &amp; River Trust (British Waterways)</v>
      </c>
      <c r="J242" t="str">
        <f>"Equipment Tools &amp; Materials - General Equipment Furniture And Materials Supplies And Services Highway Operations Green Space and Street Scene"</f>
        <v>Equipment Tools &amp; Materials - General Equipment Furniture And Materials Supplies And Services Highway Operations Green Space and Street Scene</v>
      </c>
    </row>
    <row r="243" spans="1:10" x14ac:dyDescent="0.35">
      <c r="A243" t="str">
        <f t="shared" ref="A243:A274" si="35">"MAY"</f>
        <v>MAY</v>
      </c>
      <c r="B243" t="str">
        <f t="shared" si="27"/>
        <v>20</v>
      </c>
      <c r="C243" t="str">
        <f t="shared" si="28"/>
        <v>2020/21</v>
      </c>
      <c r="D243" t="str">
        <f>"LS NE 205265"</f>
        <v>LS NE 205265</v>
      </c>
      <c r="E243" t="str">
        <f t="shared" si="29"/>
        <v>LS</v>
      </c>
      <c r="F243" t="s">
        <v>13</v>
      </c>
      <c r="G243" t="s">
        <v>14</v>
      </c>
      <c r="H243">
        <v>897</v>
      </c>
      <c r="I243" t="str">
        <f>"Friends Of St Matthews Churchyard Lightcliffe"</f>
        <v>Friends Of St Matthews Churchyard Lightcliffe</v>
      </c>
      <c r="J243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244" spans="1:10" x14ac:dyDescent="0.35">
      <c r="A244" t="str">
        <f t="shared" si="35"/>
        <v>MAY</v>
      </c>
      <c r="B244" t="str">
        <f t="shared" si="27"/>
        <v>20</v>
      </c>
      <c r="C244" t="str">
        <f t="shared" si="28"/>
        <v>2020/21</v>
      </c>
      <c r="D244" t="str">
        <f>"LS NE 205297"</f>
        <v>LS NE 205297</v>
      </c>
      <c r="E244" t="str">
        <f t="shared" si="29"/>
        <v>LS</v>
      </c>
      <c r="F244" t="s">
        <v>13</v>
      </c>
      <c r="G244" t="s">
        <v>14</v>
      </c>
      <c r="H244">
        <v>500</v>
      </c>
      <c r="I244" t="str">
        <f>"GNWV Neighbourhood Plan Committee"</f>
        <v>GNWV Neighbourhood Plan Committee</v>
      </c>
      <c r="J244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245" spans="1:10" x14ac:dyDescent="0.35">
      <c r="A245" t="str">
        <f t="shared" si="35"/>
        <v>MAY</v>
      </c>
      <c r="B245" t="str">
        <f t="shared" si="27"/>
        <v>20</v>
      </c>
      <c r="C245" t="str">
        <f t="shared" si="28"/>
        <v>2020/21</v>
      </c>
      <c r="D245" t="str">
        <f>"LS NE 205290"</f>
        <v>LS NE 205290</v>
      </c>
      <c r="E245" t="str">
        <f t="shared" si="29"/>
        <v>LS</v>
      </c>
      <c r="F245" t="s">
        <v>13</v>
      </c>
      <c r="G245" t="s">
        <v>14</v>
      </c>
      <c r="H245">
        <v>37877.5</v>
      </c>
      <c r="I245" t="str">
        <f>"North Halifax Partnership Ltd"</f>
        <v>North Halifax Partnership Ltd</v>
      </c>
      <c r="J245" t="str">
        <f>"North Halifax Partnership Grants And Subscriptions Supplies And Services Neighbourhood Working Community Safety &amp; Support"</f>
        <v>North Halifax Partnership Grants And Subscriptions Supplies And Services Neighbourhood Working Community Safety &amp; Support</v>
      </c>
    </row>
    <row r="246" spans="1:10" x14ac:dyDescent="0.35">
      <c r="A246" t="str">
        <f t="shared" si="35"/>
        <v>MAY</v>
      </c>
      <c r="B246" t="str">
        <f t="shared" si="27"/>
        <v>20</v>
      </c>
      <c r="C246" t="str">
        <f t="shared" si="28"/>
        <v>2020/21</v>
      </c>
      <c r="D246" t="str">
        <f>"TF CI 000513"</f>
        <v>TF CI 000513</v>
      </c>
      <c r="E246" t="str">
        <f t="shared" si="29"/>
        <v>TF</v>
      </c>
      <c r="F246" t="s">
        <v>17</v>
      </c>
      <c r="G246" t="s">
        <v>18</v>
      </c>
      <c r="H246">
        <v>12149.92</v>
      </c>
      <c r="I246" t="str">
        <f>"Hebden Bridge Community Association"</f>
        <v>Hebden Bridge Community Association</v>
      </c>
      <c r="J246" t="str">
        <f>"Rent of Hebden Br Council Offices from HBCA Rent And Rates Premises And Related Expenses Policy and Voluntary Sector Economy and Investment"</f>
        <v>Rent of Hebden Br Council Offices from HBCA Rent And Rates Premises And Related Expenses Policy and Voluntary Sector Economy and Investment</v>
      </c>
    </row>
    <row r="247" spans="1:10" x14ac:dyDescent="0.35">
      <c r="A247" t="str">
        <f t="shared" si="35"/>
        <v>MAY</v>
      </c>
      <c r="B247" t="str">
        <f t="shared" si="27"/>
        <v>20</v>
      </c>
      <c r="C247" t="str">
        <f t="shared" si="28"/>
        <v>2020/21</v>
      </c>
      <c r="D247" t="str">
        <f>"LS GV 205017"</f>
        <v>LS GV 205017</v>
      </c>
      <c r="E247" t="str">
        <f t="shared" si="29"/>
        <v>LS</v>
      </c>
      <c r="F247" t="s">
        <v>17</v>
      </c>
      <c r="G247" t="s">
        <v>18</v>
      </c>
      <c r="H247">
        <v>3750</v>
      </c>
      <c r="I247" t="str">
        <f>"West Yorkshire Community Accounting Service"</f>
        <v>West Yorkshire Community Accounting Service</v>
      </c>
      <c r="J247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248" spans="1:10" x14ac:dyDescent="0.35">
      <c r="A248" t="str">
        <f t="shared" si="35"/>
        <v>MAY</v>
      </c>
      <c r="B248" t="str">
        <f t="shared" si="27"/>
        <v>20</v>
      </c>
      <c r="C248" t="str">
        <f t="shared" si="28"/>
        <v>2020/21</v>
      </c>
      <c r="D248" t="str">
        <f>"LS GV 205258"</f>
        <v>LS GV 205258</v>
      </c>
      <c r="E248" t="str">
        <f t="shared" si="29"/>
        <v>LS</v>
      </c>
      <c r="F248" t="s">
        <v>17</v>
      </c>
      <c r="G248" t="s">
        <v>18</v>
      </c>
      <c r="H248">
        <v>700</v>
      </c>
      <c r="I248" t="str">
        <f>"Dads 'R' Us"</f>
        <v>Dads 'R' Us</v>
      </c>
      <c r="J248" t="str">
        <f>"Small Grants Grants And Subscriptions Supplies And Services Policy and Voluntary Sector Economy and Investment"</f>
        <v>Small Grants Grants And Subscriptions Supplies And Services Policy and Voluntary Sector Economy and Investment</v>
      </c>
    </row>
    <row r="249" spans="1:10" x14ac:dyDescent="0.35">
      <c r="A249" t="str">
        <f t="shared" si="35"/>
        <v>MAY</v>
      </c>
      <c r="B249" t="str">
        <f t="shared" si="27"/>
        <v>20</v>
      </c>
      <c r="C249" t="str">
        <f t="shared" si="28"/>
        <v>2020/21</v>
      </c>
      <c r="D249" t="str">
        <f>"LS GV 205315"</f>
        <v>LS GV 205315</v>
      </c>
      <c r="E249" t="str">
        <f t="shared" si="29"/>
        <v>LS</v>
      </c>
      <c r="F249" t="s">
        <v>17</v>
      </c>
      <c r="G249" t="s">
        <v>18</v>
      </c>
      <c r="H249">
        <v>1500</v>
      </c>
      <c r="I249" t="str">
        <f>"Piecemakers"</f>
        <v>Piecemakers</v>
      </c>
      <c r="J249" t="str">
        <f>"Small Grants Grants And Subscriptions Supplies And Services Policy and Voluntary Sector Economy and Investment"</f>
        <v>Small Grants Grants And Subscriptions Supplies And Services Policy and Voluntary Sector Economy and Investment</v>
      </c>
    </row>
    <row r="250" spans="1:10" x14ac:dyDescent="0.35">
      <c r="A250" t="str">
        <f t="shared" si="35"/>
        <v>MAY</v>
      </c>
      <c r="B250" t="str">
        <f t="shared" si="27"/>
        <v>20</v>
      </c>
      <c r="C250" t="str">
        <f t="shared" si="28"/>
        <v>2020/21</v>
      </c>
      <c r="D250" t="str">
        <f>"LS GV 205195"</f>
        <v>LS GV 205195</v>
      </c>
      <c r="E250" t="str">
        <f t="shared" si="29"/>
        <v>LS</v>
      </c>
      <c r="F250" t="s">
        <v>17</v>
      </c>
      <c r="G250" t="s">
        <v>18</v>
      </c>
      <c r="H250">
        <v>3500</v>
      </c>
      <c r="I250" t="str">
        <f>"Handmade Parade CIC"</f>
        <v>Handmade Parade CIC</v>
      </c>
      <c r="J250" t="str">
        <f>"CO - Handmade Parade CIC Grants And Subscriptions Supplies And Services Policy and Voluntary Sector Economy and Investment"</f>
        <v>CO - Handmade Parade CIC Grants And Subscriptions Supplies And Services Policy and Voluntary Sector Economy and Investment</v>
      </c>
    </row>
    <row r="251" spans="1:10" x14ac:dyDescent="0.35">
      <c r="A251" t="str">
        <f t="shared" si="35"/>
        <v>MAY</v>
      </c>
      <c r="B251" t="str">
        <f t="shared" si="27"/>
        <v>20</v>
      </c>
      <c r="C251" t="str">
        <f t="shared" si="28"/>
        <v>2020/21</v>
      </c>
      <c r="D251" t="str">
        <f>"SC DC 215418"</f>
        <v>SC DC 215418</v>
      </c>
      <c r="E251" t="str">
        <f t="shared" si="29"/>
        <v>SC</v>
      </c>
      <c r="F251" t="s">
        <v>21</v>
      </c>
      <c r="G251" t="s">
        <v>22</v>
      </c>
      <c r="H251">
        <v>96</v>
      </c>
      <c r="I251" t="str">
        <f>"Carers Trust Mid Yorkshire"</f>
        <v>Carers Trust Mid Yorkshire</v>
      </c>
      <c r="J251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252" spans="1:10" x14ac:dyDescent="0.35">
      <c r="A252" t="str">
        <f t="shared" si="35"/>
        <v>MAY</v>
      </c>
      <c r="B252" t="str">
        <f t="shared" si="27"/>
        <v>20</v>
      </c>
      <c r="C252" t="str">
        <f t="shared" si="28"/>
        <v>2020/21</v>
      </c>
      <c r="D252" t="str">
        <f>"SC DC 215419"</f>
        <v>SC DC 215419</v>
      </c>
      <c r="E252" t="str">
        <f t="shared" si="29"/>
        <v>SC</v>
      </c>
      <c r="F252" t="s">
        <v>21</v>
      </c>
      <c r="G252" t="s">
        <v>22</v>
      </c>
      <c r="H252">
        <v>96</v>
      </c>
      <c r="I252" t="str">
        <f>"Carers Trust Mid Yorkshire"</f>
        <v>Carers Trust Mid Yorkshire</v>
      </c>
      <c r="J252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253" spans="1:10" x14ac:dyDescent="0.35">
      <c r="A253" t="str">
        <f t="shared" si="35"/>
        <v>MAY</v>
      </c>
      <c r="B253" t="str">
        <f t="shared" si="27"/>
        <v>20</v>
      </c>
      <c r="C253" t="str">
        <f t="shared" si="28"/>
        <v>2020/21</v>
      </c>
      <c r="D253" t="str">
        <f>"SC DC 215419"</f>
        <v>SC DC 215419</v>
      </c>
      <c r="E253" t="str">
        <f t="shared" si="29"/>
        <v>SC</v>
      </c>
      <c r="F253" t="s">
        <v>21</v>
      </c>
      <c r="G253" t="s">
        <v>22</v>
      </c>
      <c r="H253">
        <v>245.76</v>
      </c>
      <c r="I253" t="str">
        <f>"Carers Trust Mid Yorkshire"</f>
        <v>Carers Trust Mid Yorkshire</v>
      </c>
      <c r="J253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254" spans="1:10" x14ac:dyDescent="0.35">
      <c r="A254" t="str">
        <f t="shared" si="35"/>
        <v>MAY</v>
      </c>
      <c r="B254" t="str">
        <f t="shared" si="27"/>
        <v>20</v>
      </c>
      <c r="C254" t="str">
        <f t="shared" si="28"/>
        <v>2020/21</v>
      </c>
      <c r="D254" t="str">
        <f>"CE PH 014102"</f>
        <v>CE PH 014102</v>
      </c>
      <c r="E254" t="str">
        <f t="shared" si="29"/>
        <v>CE</v>
      </c>
      <c r="F254" t="s">
        <v>23</v>
      </c>
      <c r="G254" t="s">
        <v>24</v>
      </c>
      <c r="H254">
        <v>249204.83</v>
      </c>
      <c r="I254" t="str">
        <f>"Humankind"</f>
        <v>Humankind</v>
      </c>
      <c r="J254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255" spans="1:10" x14ac:dyDescent="0.35">
      <c r="A255" t="str">
        <f t="shared" si="35"/>
        <v>MAY</v>
      </c>
      <c r="B255" t="str">
        <f t="shared" si="27"/>
        <v>20</v>
      </c>
      <c r="C255" t="str">
        <f t="shared" si="28"/>
        <v>2020/21</v>
      </c>
      <c r="D255" t="str">
        <f>"CE PH 014124"</f>
        <v>CE PH 014124</v>
      </c>
      <c r="E255" t="str">
        <f t="shared" si="29"/>
        <v>CE</v>
      </c>
      <c r="F255" t="s">
        <v>23</v>
      </c>
      <c r="G255" t="s">
        <v>24</v>
      </c>
      <c r="H255">
        <v>128</v>
      </c>
      <c r="I255" t="str">
        <f>"City Health Partnership CIC"</f>
        <v>City Health Partnership CIC</v>
      </c>
      <c r="J255" t="str">
        <f>"Out of area GUM Private Contractors Agency And Contracted Services Sexual Health Public Health"</f>
        <v>Out of area GUM Private Contractors Agency And Contracted Services Sexual Health Public Health</v>
      </c>
    </row>
    <row r="256" spans="1:10" x14ac:dyDescent="0.35">
      <c r="A256" t="str">
        <f t="shared" si="35"/>
        <v>MAY</v>
      </c>
      <c r="B256" t="str">
        <f t="shared" si="27"/>
        <v>20</v>
      </c>
      <c r="C256" t="str">
        <f t="shared" si="28"/>
        <v>2020/21</v>
      </c>
      <c r="D256" t="str">
        <f>"CE PH 014134"</f>
        <v>CE PH 014134</v>
      </c>
      <c r="E256" t="str">
        <f t="shared" si="29"/>
        <v>CE</v>
      </c>
      <c r="F256" t="s">
        <v>23</v>
      </c>
      <c r="G256" t="s">
        <v>24</v>
      </c>
      <c r="H256">
        <v>672</v>
      </c>
      <c r="I256" t="str">
        <f>"Locala Community Partnerships CIC"</f>
        <v>Locala Community Partnerships CIC</v>
      </c>
      <c r="J256" t="str">
        <f>"Out of area GUM Private Contractors Agency And Contracted Services Sexual Health Public Health"</f>
        <v>Out of area GUM Private Contractors Agency And Contracted Services Sexual Health Public Health</v>
      </c>
    </row>
    <row r="257" spans="1:10" x14ac:dyDescent="0.35">
      <c r="A257" t="str">
        <f t="shared" si="35"/>
        <v>MAY</v>
      </c>
      <c r="B257" t="str">
        <f t="shared" si="27"/>
        <v>20</v>
      </c>
      <c r="C257" t="str">
        <f t="shared" si="28"/>
        <v>2020/21</v>
      </c>
      <c r="D257" t="str">
        <f>"CE PH 014133"</f>
        <v>CE PH 014133</v>
      </c>
      <c r="E257" t="str">
        <f t="shared" si="29"/>
        <v>CE</v>
      </c>
      <c r="F257" t="s">
        <v>23</v>
      </c>
      <c r="G257" t="s">
        <v>24</v>
      </c>
      <c r="H257">
        <v>448</v>
      </c>
      <c r="I257" t="str">
        <f>"Locala Community Partnerships CIC"</f>
        <v>Locala Community Partnerships CIC</v>
      </c>
      <c r="J257" t="str">
        <f>"Out of area GUM Private Contractors Agency And Contracted Services Sexual Health Public Health"</f>
        <v>Out of area GUM Private Contractors Agency And Contracted Services Sexual Health Public Health</v>
      </c>
    </row>
    <row r="258" spans="1:10" x14ac:dyDescent="0.35">
      <c r="A258" t="str">
        <f t="shared" si="35"/>
        <v>MAY</v>
      </c>
      <c r="B258" t="str">
        <f t="shared" ref="B258:B321" si="36">"20"</f>
        <v>20</v>
      </c>
      <c r="C258" t="str">
        <f t="shared" ref="C258:C321" si="37">"2020/21"</f>
        <v>2020/21</v>
      </c>
      <c r="D258" t="str">
        <f>"CE PH 014136"</f>
        <v>CE PH 014136</v>
      </c>
      <c r="E258" t="str">
        <f t="shared" ref="E258:E321" si="38">LEFT(D258,2)</f>
        <v>CE</v>
      </c>
      <c r="F258" t="s">
        <v>23</v>
      </c>
      <c r="G258" t="s">
        <v>24</v>
      </c>
      <c r="H258">
        <v>70000</v>
      </c>
      <c r="I258" t="str">
        <f>"Soil Association Ltd"</f>
        <v>Soil Association Ltd</v>
      </c>
      <c r="J258" t="str">
        <f>"Food for Life Partnership Private Contractors Agency And Contracted Services Obesity Public Health"</f>
        <v>Food for Life Partnership Private Contractors Agency And Contracted Services Obesity Public Health</v>
      </c>
    </row>
    <row r="259" spans="1:10" x14ac:dyDescent="0.35">
      <c r="A259" t="str">
        <f t="shared" si="35"/>
        <v>MAY</v>
      </c>
      <c r="B259" t="str">
        <f t="shared" si="36"/>
        <v>20</v>
      </c>
      <c r="C259" t="str">
        <f t="shared" si="37"/>
        <v>2020/21</v>
      </c>
      <c r="D259" t="str">
        <f>"CE PH 014113"</f>
        <v>CE PH 014113</v>
      </c>
      <c r="E259" t="str">
        <f t="shared" si="38"/>
        <v>CE</v>
      </c>
      <c r="F259" t="s">
        <v>23</v>
      </c>
      <c r="G259" t="s">
        <v>24</v>
      </c>
      <c r="H259">
        <v>296959.92</v>
      </c>
      <c r="I259" t="str">
        <f>"Locala Community Partnerships CIC"</f>
        <v>Locala Community Partnerships CIC</v>
      </c>
      <c r="J259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260" spans="1:10" x14ac:dyDescent="0.35">
      <c r="A260" t="str">
        <f t="shared" si="35"/>
        <v>MAY</v>
      </c>
      <c r="B260" t="str">
        <f t="shared" si="36"/>
        <v>20</v>
      </c>
      <c r="C260" t="str">
        <f t="shared" si="37"/>
        <v>2020/21</v>
      </c>
      <c r="D260" t="str">
        <f>"CE PH 014096"</f>
        <v>CE PH 014096</v>
      </c>
      <c r="E260" t="str">
        <f t="shared" si="38"/>
        <v>CE</v>
      </c>
      <c r="F260" t="s">
        <v>23</v>
      </c>
      <c r="G260" t="s">
        <v>24</v>
      </c>
      <c r="H260">
        <v>22682</v>
      </c>
      <c r="I260" t="str">
        <f>"Humankind"</f>
        <v>Humankind</v>
      </c>
      <c r="J260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261" spans="1:10" x14ac:dyDescent="0.35">
      <c r="A261" t="str">
        <f t="shared" si="35"/>
        <v>MAY</v>
      </c>
      <c r="B261" t="str">
        <f t="shared" si="36"/>
        <v>20</v>
      </c>
      <c r="C261" t="str">
        <f t="shared" si="37"/>
        <v>2020/21</v>
      </c>
      <c r="D261" t="str">
        <f>"SS FD 109398"</f>
        <v>SS FD 109398</v>
      </c>
      <c r="E261" t="str">
        <f t="shared" si="38"/>
        <v>SS</v>
      </c>
      <c r="F261" t="s">
        <v>25</v>
      </c>
      <c r="G261" t="s">
        <v>22</v>
      </c>
      <c r="H261">
        <v>156.80000000000001</v>
      </c>
      <c r="I261" t="str">
        <f>"Bridgewood Trust Ltd"</f>
        <v>Bridgewood Trust Ltd</v>
      </c>
      <c r="J261" t="str">
        <f t="shared" ref="J261:J267" si="39"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262" spans="1:10" x14ac:dyDescent="0.35">
      <c r="A262" t="str">
        <f t="shared" si="35"/>
        <v>MAY</v>
      </c>
      <c r="B262" t="str">
        <f t="shared" si="36"/>
        <v>20</v>
      </c>
      <c r="C262" t="str">
        <f t="shared" si="37"/>
        <v>2020/21</v>
      </c>
      <c r="D262" t="str">
        <f>"SS FD 113788"</f>
        <v>SS FD 113788</v>
      </c>
      <c r="E262" t="str">
        <f t="shared" si="38"/>
        <v>SS</v>
      </c>
      <c r="F262" t="s">
        <v>25</v>
      </c>
      <c r="G262" t="s">
        <v>22</v>
      </c>
      <c r="H262">
        <v>156.80000000000001</v>
      </c>
      <c r="I262" t="str">
        <f>"Bridgewood Trust Ltd"</f>
        <v>Bridgewood Trust Ltd</v>
      </c>
      <c r="J262" t="str">
        <f t="shared" si="39"/>
        <v>Flexible Day Care - Voluntary Associations Voluntary Associations Agency And Contracted Services Purchased Day Opportunities Learning Disabiliti</v>
      </c>
    </row>
    <row r="263" spans="1:10" x14ac:dyDescent="0.35">
      <c r="A263" t="str">
        <f t="shared" si="35"/>
        <v>MAY</v>
      </c>
      <c r="B263" t="str">
        <f t="shared" si="36"/>
        <v>20</v>
      </c>
      <c r="C263" t="str">
        <f t="shared" si="37"/>
        <v>2020/21</v>
      </c>
      <c r="D263" t="str">
        <f>"SS FD 113782"</f>
        <v>SS FD 113782</v>
      </c>
      <c r="E263" t="str">
        <f t="shared" si="38"/>
        <v>SS</v>
      </c>
      <c r="F263" t="s">
        <v>25</v>
      </c>
      <c r="G263" t="s">
        <v>22</v>
      </c>
      <c r="H263">
        <v>97.44</v>
      </c>
      <c r="I263" t="str">
        <f>"Carers Trust Mid Yorkshire"</f>
        <v>Carers Trust Mid Yorkshire</v>
      </c>
      <c r="J263" t="str">
        <f t="shared" si="39"/>
        <v>Flexible Day Care - Voluntary Associations Voluntary Associations Agency And Contracted Services Purchased Day Opportunities Learning Disabiliti</v>
      </c>
    </row>
    <row r="264" spans="1:10" x14ac:dyDescent="0.35">
      <c r="A264" t="str">
        <f t="shared" si="35"/>
        <v>MAY</v>
      </c>
      <c r="B264" t="str">
        <f t="shared" si="36"/>
        <v>20</v>
      </c>
      <c r="C264" t="str">
        <f t="shared" si="37"/>
        <v>2020/21</v>
      </c>
      <c r="D264" t="str">
        <f>"SS FD 113786"</f>
        <v>SS FD 113786</v>
      </c>
      <c r="E264" t="str">
        <f t="shared" si="38"/>
        <v>SS</v>
      </c>
      <c r="F264" t="s">
        <v>25</v>
      </c>
      <c r="G264" t="s">
        <v>22</v>
      </c>
      <c r="H264">
        <v>2290.0500000000002</v>
      </c>
      <c r="I264" t="str">
        <f>"Helping Hands (HX)"</f>
        <v>Helping Hands (HX)</v>
      </c>
      <c r="J264" t="str">
        <f t="shared" si="39"/>
        <v>Flexible Day Care - Voluntary Associations Voluntary Associations Agency And Contracted Services Purchased Day Opportunities Learning Disabiliti</v>
      </c>
    </row>
    <row r="265" spans="1:10" x14ac:dyDescent="0.35">
      <c r="A265" t="str">
        <f t="shared" si="35"/>
        <v>MAY</v>
      </c>
      <c r="B265" t="str">
        <f t="shared" si="36"/>
        <v>20</v>
      </c>
      <c r="C265" t="str">
        <f t="shared" si="37"/>
        <v>2020/21</v>
      </c>
      <c r="D265" t="str">
        <f>"SS FD 113780"</f>
        <v>SS FD 113780</v>
      </c>
      <c r="E265" t="str">
        <f t="shared" si="38"/>
        <v>SS</v>
      </c>
      <c r="F265" t="s">
        <v>25</v>
      </c>
      <c r="G265" t="s">
        <v>22</v>
      </c>
      <c r="H265">
        <v>88775.65</v>
      </c>
      <c r="I265" t="str">
        <f>"The Next Step Trust"</f>
        <v>The Next Step Trust</v>
      </c>
      <c r="J265" t="str">
        <f t="shared" si="39"/>
        <v>Flexible Day Care - Voluntary Associations Voluntary Associations Agency And Contracted Services Purchased Day Opportunities Learning Disabiliti</v>
      </c>
    </row>
    <row r="266" spans="1:10" x14ac:dyDescent="0.35">
      <c r="A266" t="str">
        <f t="shared" si="35"/>
        <v>MAY</v>
      </c>
      <c r="B266" t="str">
        <f t="shared" si="36"/>
        <v>20</v>
      </c>
      <c r="C266" t="str">
        <f t="shared" si="37"/>
        <v>2020/21</v>
      </c>
      <c r="D266" t="str">
        <f>"SS FD 109412"</f>
        <v>SS FD 109412</v>
      </c>
      <c r="E266" t="str">
        <f t="shared" si="38"/>
        <v>SS</v>
      </c>
      <c r="F266" t="s">
        <v>25</v>
      </c>
      <c r="G266" t="s">
        <v>22</v>
      </c>
      <c r="H266">
        <v>38116.769999999997</v>
      </c>
      <c r="I266" t="str">
        <f>"Pennine Magpie"</f>
        <v>Pennine Magpie</v>
      </c>
      <c r="J266" t="str">
        <f t="shared" si="39"/>
        <v>Flexible Day Care - Voluntary Associations Voluntary Associations Agency And Contracted Services Purchased Day Opportunities Learning Disabiliti</v>
      </c>
    </row>
    <row r="267" spans="1:10" x14ac:dyDescent="0.35">
      <c r="A267" t="str">
        <f t="shared" si="35"/>
        <v>MAY</v>
      </c>
      <c r="B267" t="str">
        <f t="shared" si="36"/>
        <v>20</v>
      </c>
      <c r="C267" t="str">
        <f t="shared" si="37"/>
        <v>2020/21</v>
      </c>
      <c r="D267" t="str">
        <f>"SS FD 113789"</f>
        <v>SS FD 113789</v>
      </c>
      <c r="E267" t="str">
        <f t="shared" si="38"/>
        <v>SS</v>
      </c>
      <c r="F267" t="s">
        <v>25</v>
      </c>
      <c r="G267" t="s">
        <v>22</v>
      </c>
      <c r="H267">
        <v>33988.050000000003</v>
      </c>
      <c r="I267" t="str">
        <f>"Pennine Magpie"</f>
        <v>Pennine Magpie</v>
      </c>
      <c r="J267" t="str">
        <f t="shared" si="39"/>
        <v>Flexible Day Care - Voluntary Associations Voluntary Associations Agency And Contracted Services Purchased Day Opportunities Learning Disabiliti</v>
      </c>
    </row>
    <row r="268" spans="1:10" x14ac:dyDescent="0.35">
      <c r="A268" t="str">
        <f t="shared" si="35"/>
        <v>MAY</v>
      </c>
      <c r="B268" t="str">
        <f t="shared" si="36"/>
        <v>20</v>
      </c>
      <c r="C268" t="str">
        <f t="shared" si="37"/>
        <v>2020/21</v>
      </c>
      <c r="D268" t="str">
        <f>"HS EM 016557"</f>
        <v>HS EM 016557</v>
      </c>
      <c r="E268" t="str">
        <f t="shared" si="38"/>
        <v>HS</v>
      </c>
      <c r="F268" t="s">
        <v>26</v>
      </c>
      <c r="G268" t="s">
        <v>18</v>
      </c>
      <c r="H268">
        <v>169</v>
      </c>
      <c r="I268" t="str">
        <f>"APSE"</f>
        <v>APSE</v>
      </c>
      <c r="J268" t="str">
        <f>"Building a Sustainable Future ¿ Climate Change Emergency - Budget Council 2019 growth Miscellaneous Expenses Supplies And Services Environmental"</f>
        <v>Building a Sustainable Future ¿ Climate Change Emergency - Budget Council 2019 growth Miscellaneous Expenses Supplies And Services Environmental</v>
      </c>
    </row>
    <row r="269" spans="1:10" x14ac:dyDescent="0.35">
      <c r="A269" t="str">
        <f t="shared" si="35"/>
        <v>MAY</v>
      </c>
      <c r="B269" t="str">
        <f t="shared" si="36"/>
        <v>20</v>
      </c>
      <c r="C269" t="str">
        <f t="shared" si="37"/>
        <v>2020/21</v>
      </c>
      <c r="D269" t="str">
        <f>"HS TA 016590"</f>
        <v>HS TA 016590</v>
      </c>
      <c r="E269" t="str">
        <f t="shared" si="38"/>
        <v>HS</v>
      </c>
      <c r="F269" t="s">
        <v>26</v>
      </c>
      <c r="G269" t="s">
        <v>18</v>
      </c>
      <c r="H269">
        <v>18385.349999999999</v>
      </c>
      <c r="I269" t="str">
        <f>"Christians Together Calderdale"</f>
        <v>Christians Together Calderdale</v>
      </c>
      <c r="J269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270" spans="1:10" x14ac:dyDescent="0.35">
      <c r="A270" t="str">
        <f t="shared" si="35"/>
        <v>MAY</v>
      </c>
      <c r="B270" t="str">
        <f t="shared" si="36"/>
        <v>20</v>
      </c>
      <c r="C270" t="str">
        <f t="shared" si="37"/>
        <v>2020/21</v>
      </c>
      <c r="D270" t="str">
        <f>"HS TA 016590"</f>
        <v>HS TA 016590</v>
      </c>
      <c r="E270" t="str">
        <f t="shared" si="38"/>
        <v>HS</v>
      </c>
      <c r="F270" t="s">
        <v>26</v>
      </c>
      <c r="G270" t="s">
        <v>18</v>
      </c>
      <c r="H270">
        <v>53003.57</v>
      </c>
      <c r="I270" t="str">
        <f>"Christians Together Calderdale"</f>
        <v>Christians Together Calderdale</v>
      </c>
      <c r="J270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271" spans="1:10" x14ac:dyDescent="0.35">
      <c r="A271" t="str">
        <f t="shared" si="35"/>
        <v>MAY</v>
      </c>
      <c r="B271" t="str">
        <f t="shared" si="36"/>
        <v>20</v>
      </c>
      <c r="C271" t="str">
        <f t="shared" si="37"/>
        <v>2020/21</v>
      </c>
      <c r="D271" t="str">
        <f>"HS TA 016582"</f>
        <v>HS TA 016582</v>
      </c>
      <c r="E271" t="str">
        <f t="shared" si="38"/>
        <v>HS</v>
      </c>
      <c r="F271" t="s">
        <v>26</v>
      </c>
      <c r="G271" t="s">
        <v>18</v>
      </c>
      <c r="H271">
        <v>35</v>
      </c>
      <c r="I271" t="str">
        <f>"Calder Valley Transport"</f>
        <v>Calder Valley Transport</v>
      </c>
      <c r="J271" t="str">
        <f>"Other Equipment Repairs Equipment Furniture And Materials Supplies And Services Ryburn House Housing Services"</f>
        <v>Other Equipment Repairs Equipment Furniture And Materials Supplies And Services Ryburn House Housing Services</v>
      </c>
    </row>
    <row r="272" spans="1:10" x14ac:dyDescent="0.35">
      <c r="A272" t="str">
        <f t="shared" si="35"/>
        <v>MAY</v>
      </c>
      <c r="B272" t="str">
        <f t="shared" si="36"/>
        <v>20</v>
      </c>
      <c r="C272" t="str">
        <f t="shared" si="37"/>
        <v>2020/21</v>
      </c>
      <c r="D272" t="str">
        <f>"HS TA 016560"</f>
        <v>HS TA 016560</v>
      </c>
      <c r="E272" t="str">
        <f t="shared" si="38"/>
        <v>HS</v>
      </c>
      <c r="F272" t="s">
        <v>26</v>
      </c>
      <c r="G272" t="s">
        <v>18</v>
      </c>
      <c r="H272">
        <v>13101.3</v>
      </c>
      <c r="I272" t="str">
        <f>"St Augustines Centre"</f>
        <v>St Augustines Centre</v>
      </c>
      <c r="J272" t="str">
        <f>"Sundry Support for Syrian Families Miscellaneous Expenses Supplies And Services Syrian settlement account Housing Services"</f>
        <v>Sundry Support for Syrian Families Miscellaneous Expenses Supplies And Services Syrian settlement account Housing Services</v>
      </c>
    </row>
    <row r="273" spans="1:10" x14ac:dyDescent="0.35">
      <c r="A273" t="str">
        <f t="shared" si="35"/>
        <v>MAY</v>
      </c>
      <c r="B273" t="str">
        <f t="shared" si="36"/>
        <v>20</v>
      </c>
      <c r="C273" t="str">
        <f t="shared" si="37"/>
        <v>2020/21</v>
      </c>
      <c r="D273" t="str">
        <f>"CA FM 006349"</f>
        <v>CA FM 006349</v>
      </c>
      <c r="E273" t="str">
        <f t="shared" si="38"/>
        <v>CA</v>
      </c>
      <c r="F273" t="s">
        <v>27</v>
      </c>
      <c r="G273" t="s">
        <v>18</v>
      </c>
      <c r="H273">
        <v>3750</v>
      </c>
      <c r="I273" t="str">
        <f>"Calderdale Industrial Museum Association"</f>
        <v>Calderdale Industrial Museum Association</v>
      </c>
      <c r="J273" t="str">
        <f>"Community asset transfer - grant to Calderdale Industrial Museum Assoc Transfer Payments - School Children And Students Transfer Payments Miscel"</f>
        <v>Community asset transfer - grant to Calderdale Industrial Museum Assoc Transfer Payments - School Children And Students Transfer Payments Miscel</v>
      </c>
    </row>
    <row r="274" spans="1:10" x14ac:dyDescent="0.35">
      <c r="A274" t="str">
        <f t="shared" si="35"/>
        <v>MAY</v>
      </c>
      <c r="B274" t="str">
        <f t="shared" si="36"/>
        <v>20</v>
      </c>
      <c r="C274" t="str">
        <f t="shared" si="37"/>
        <v>2020/21</v>
      </c>
      <c r="D274" t="str">
        <f>"EG FR 064335"</f>
        <v>EG FR 064335</v>
      </c>
      <c r="E274" t="str">
        <f t="shared" si="38"/>
        <v>EG</v>
      </c>
      <c r="F274" t="s">
        <v>28</v>
      </c>
      <c r="G274" t="s">
        <v>18</v>
      </c>
      <c r="H274">
        <v>1325.4</v>
      </c>
      <c r="I274" t="str">
        <f>"Treesponsibility"</f>
        <v>Treesponsibility</v>
      </c>
      <c r="J274" t="str">
        <f>"Natural Flood Management Pilot Services Supplies And Services LLFA Works Budgets Highways and Engineering Services"</f>
        <v>Natural Flood Management Pilot Services Supplies And Services LLFA Works Budgets Highways and Engineering Services</v>
      </c>
    </row>
    <row r="275" spans="1:10" x14ac:dyDescent="0.35">
      <c r="A275" t="str">
        <f t="shared" ref="A275:A306" si="40">"MAY"</f>
        <v>MAY</v>
      </c>
      <c r="B275" t="str">
        <f t="shared" si="36"/>
        <v>20</v>
      </c>
      <c r="C275" t="str">
        <f t="shared" si="37"/>
        <v>2020/21</v>
      </c>
      <c r="D275" t="str">
        <f>"EG CE 062277"</f>
        <v>EG CE 062277</v>
      </c>
      <c r="E275" t="str">
        <f t="shared" si="38"/>
        <v>EG</v>
      </c>
      <c r="F275" t="s">
        <v>28</v>
      </c>
      <c r="G275" t="s">
        <v>18</v>
      </c>
      <c r="H275">
        <v>110</v>
      </c>
      <c r="I275" t="str">
        <f>"Crows"</f>
        <v>Crows</v>
      </c>
      <c r="J275" t="str">
        <f>"Miscellaneous Contractors Private Contractors Agency And Contracted Services Rights of Way Works Highways and Engineering Services"</f>
        <v>Miscellaneous Contractors Private Contractors Agency And Contracted Services Rights of Way Works Highways and Engineering Services</v>
      </c>
    </row>
    <row r="276" spans="1:10" x14ac:dyDescent="0.35">
      <c r="A276" t="str">
        <f t="shared" si="40"/>
        <v>MAY</v>
      </c>
      <c r="B276" t="str">
        <f t="shared" si="36"/>
        <v>20</v>
      </c>
      <c r="C276" t="str">
        <f t="shared" si="37"/>
        <v>2020/21</v>
      </c>
      <c r="D276" t="str">
        <f>"EG CE 061845"</f>
        <v>EG CE 061845</v>
      </c>
      <c r="E276" t="str">
        <f t="shared" si="38"/>
        <v>EG</v>
      </c>
      <c r="F276" t="s">
        <v>28</v>
      </c>
      <c r="G276" t="s">
        <v>18</v>
      </c>
      <c r="H276">
        <v>783.5</v>
      </c>
      <c r="I276" t="str">
        <f>"Crows"</f>
        <v>Crows</v>
      </c>
      <c r="J276" t="str">
        <f>"Miscellaneous Contractors Private Contractors Agency And Contracted Services Rights of Way Works Highways and Engineering Services"</f>
        <v>Miscellaneous Contractors Private Contractors Agency And Contracted Services Rights of Way Works Highways and Engineering Services</v>
      </c>
    </row>
    <row r="277" spans="1:10" x14ac:dyDescent="0.35">
      <c r="A277" t="str">
        <f t="shared" si="40"/>
        <v>MAY</v>
      </c>
      <c r="B277" t="str">
        <f t="shared" si="36"/>
        <v>20</v>
      </c>
      <c r="C277" t="str">
        <f t="shared" si="37"/>
        <v>2020/21</v>
      </c>
      <c r="D277" t="str">
        <f>"EG TN 064384"</f>
        <v>EG TN 064384</v>
      </c>
      <c r="E277" t="str">
        <f t="shared" si="38"/>
        <v>EG</v>
      </c>
      <c r="F277" t="s">
        <v>36</v>
      </c>
      <c r="G277" t="s">
        <v>18</v>
      </c>
      <c r="H277">
        <v>380</v>
      </c>
      <c r="I277" t="str">
        <f>"Canal &amp; River Trust (British Waterways)"</f>
        <v>Canal &amp; River Trust (British Waterways)</v>
      </c>
      <c r="J277" t="str">
        <f>"Other Fees Elland Station (Calder Valley Line)  West Yorkshire Combined Authority Programmes Highways &amp; Engineering Services - Capital"</f>
        <v>Other Fees Elland Station (Calder Valley Line)  West Yorkshire Combined Authority Programmes Highways &amp; Engineering Services - Capital</v>
      </c>
    </row>
    <row r="278" spans="1:10" x14ac:dyDescent="0.35">
      <c r="A278" t="str">
        <f t="shared" si="40"/>
        <v>MAY</v>
      </c>
      <c r="B278" t="str">
        <f t="shared" si="36"/>
        <v>20</v>
      </c>
      <c r="C278" t="str">
        <f t="shared" si="37"/>
        <v>2020/21</v>
      </c>
      <c r="D278" t="str">
        <f>"SC LA 216007"</f>
        <v>SC LA 216007</v>
      </c>
      <c r="E278" t="str">
        <f t="shared" si="38"/>
        <v>SC</v>
      </c>
      <c r="F278" t="s">
        <v>29</v>
      </c>
      <c r="G278" t="s">
        <v>30</v>
      </c>
      <c r="H278">
        <v>3000</v>
      </c>
      <c r="I278" t="str">
        <f>"Calderdale Music Trust Ltd"</f>
        <v>Calderdale Music Trust Ltd</v>
      </c>
      <c r="J278" t="str">
        <f>"Standards Fund grant devolved to schools Government Grants Income Government Grant Holding A/C Children and Young People's Serv - Central Depts."</f>
        <v>Standards Fund grant devolved to schools Government Grants Income Government Grant Holding A/C Children and Young People's Serv - Central Depts.</v>
      </c>
    </row>
    <row r="279" spans="1:10" x14ac:dyDescent="0.35">
      <c r="A279" t="str">
        <f t="shared" si="40"/>
        <v>MAY</v>
      </c>
      <c r="B279" t="str">
        <f t="shared" si="36"/>
        <v>20</v>
      </c>
      <c r="C279" t="str">
        <f t="shared" si="37"/>
        <v>2020/21</v>
      </c>
      <c r="D279" t="str">
        <f>"SC SS 216008"</f>
        <v>SC SS 216008</v>
      </c>
      <c r="E279" t="str">
        <f t="shared" si="38"/>
        <v>SC</v>
      </c>
      <c r="F279" t="s">
        <v>31</v>
      </c>
      <c r="G279" t="s">
        <v>30</v>
      </c>
      <c r="H279">
        <v>79563.81</v>
      </c>
      <c r="I279" t="str">
        <f>"National Autistic Society"</f>
        <v>National Autistic Society</v>
      </c>
      <c r="J279" t="str">
        <f>"Private contractors Private Contractors Agency And Contracted Services Special Extra District Schools and Children's Services - Non-School"</f>
        <v>Private contractors Private Contractors Agency And Contracted Services Special Extra District Schools and Children's Services - Non-School</v>
      </c>
    </row>
    <row r="280" spans="1:10" x14ac:dyDescent="0.35">
      <c r="A280" t="str">
        <f t="shared" si="40"/>
        <v>MAY</v>
      </c>
      <c r="B280" t="str">
        <f t="shared" si="36"/>
        <v>20</v>
      </c>
      <c r="C280" t="str">
        <f t="shared" si="37"/>
        <v>2020/21</v>
      </c>
      <c r="D280" t="str">
        <f>"SC YS 215908"</f>
        <v>SC YS 215908</v>
      </c>
      <c r="E280" t="str">
        <f t="shared" si="38"/>
        <v>SC</v>
      </c>
      <c r="F280" t="s">
        <v>31</v>
      </c>
      <c r="G280" t="s">
        <v>30</v>
      </c>
      <c r="H280">
        <v>4125</v>
      </c>
      <c r="I280" t="str">
        <f>"North Halifax Youth &amp; Community Group"</f>
        <v>North Halifax Youth &amp; Community Group</v>
      </c>
      <c r="J280" t="str">
        <f>"Programme Costs Miscellaneous Expenses Supplies And Services North Halifax Youth &amp; Community Group Schools and Children's Services - Non-School"</f>
        <v>Programme Costs Miscellaneous Expenses Supplies And Services North Halifax Youth &amp; Community Group Schools and Children's Services - Non-School</v>
      </c>
    </row>
    <row r="281" spans="1:10" x14ac:dyDescent="0.35">
      <c r="A281" t="str">
        <f t="shared" si="40"/>
        <v>MAY</v>
      </c>
      <c r="B281" t="str">
        <f t="shared" si="36"/>
        <v>20</v>
      </c>
      <c r="C281" t="str">
        <f t="shared" si="37"/>
        <v>2020/21</v>
      </c>
      <c r="D281" t="str">
        <f>"SC YW 215924"</f>
        <v>SC YW 215924</v>
      </c>
      <c r="E281" t="str">
        <f t="shared" si="38"/>
        <v>SC</v>
      </c>
      <c r="F281" t="s">
        <v>31</v>
      </c>
      <c r="G281" t="s">
        <v>30</v>
      </c>
      <c r="H281">
        <v>8415</v>
      </c>
      <c r="I281" t="str">
        <f>"Himmat Limited"</f>
        <v>Himmat Limited</v>
      </c>
      <c r="J281" t="str">
        <f>"Misc Expenses Miscellaneous Expenses Supplies And Services Orangebox Schools and Children's Services - Non-School"</f>
        <v>Misc Expenses Miscellaneous Expenses Supplies And Services Orangebox Schools and Children's Services - Non-School</v>
      </c>
    </row>
    <row r="282" spans="1:10" x14ac:dyDescent="0.35">
      <c r="A282" t="str">
        <f t="shared" si="40"/>
        <v>MAY</v>
      </c>
      <c r="B282" t="str">
        <f t="shared" si="36"/>
        <v>20</v>
      </c>
      <c r="C282" t="str">
        <f t="shared" si="37"/>
        <v>2020/21</v>
      </c>
      <c r="D282" t="str">
        <f>"SC YC 216060"</f>
        <v>SC YC 216060</v>
      </c>
      <c r="E282" t="str">
        <f t="shared" si="38"/>
        <v>SC</v>
      </c>
      <c r="F282" t="s">
        <v>31</v>
      </c>
      <c r="G282" t="s">
        <v>30</v>
      </c>
      <c r="H282">
        <v>1050</v>
      </c>
      <c r="I282" t="str">
        <f>"The Space @ Field Lane Centre"</f>
        <v>The Space @ Field Lane Centre</v>
      </c>
      <c r="J282" t="str">
        <f>"Programme Costs Miscellaneous Expenses Supplies And Services Lower Valley Youth Work Schools and Children's Services - Non-School"</f>
        <v>Programme Costs Miscellaneous Expenses Supplies And Services Lower Valley Youth Work Schools and Children's Services - Non-School</v>
      </c>
    </row>
    <row r="283" spans="1:10" x14ac:dyDescent="0.35">
      <c r="A283" t="str">
        <f t="shared" si="40"/>
        <v>MAY</v>
      </c>
      <c r="B283" t="str">
        <f t="shared" si="36"/>
        <v>20</v>
      </c>
      <c r="C283" t="str">
        <f t="shared" si="37"/>
        <v>2020/21</v>
      </c>
      <c r="D283" t="str">
        <f>"SC EY 215978"</f>
        <v>SC EY 215978</v>
      </c>
      <c r="E283" t="str">
        <f t="shared" si="38"/>
        <v>SC</v>
      </c>
      <c r="F283" t="s">
        <v>32</v>
      </c>
      <c r="G283" t="s">
        <v>30</v>
      </c>
      <c r="H283">
        <v>280.5</v>
      </c>
      <c r="I283" t="str">
        <f>"Creations Community Childrens Centre"</f>
        <v>Creations Community Childrens Centre</v>
      </c>
      <c r="J283" t="str">
        <f t="shared" ref="J283:J288" si="41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284" spans="1:10" x14ac:dyDescent="0.35">
      <c r="A284" t="str">
        <f t="shared" si="40"/>
        <v>MAY</v>
      </c>
      <c r="B284" t="str">
        <f t="shared" si="36"/>
        <v>20</v>
      </c>
      <c r="C284" t="str">
        <f t="shared" si="37"/>
        <v>2020/21</v>
      </c>
      <c r="D284" t="str">
        <f>"SC EY 215982"</f>
        <v>SC EY 215982</v>
      </c>
      <c r="E284" t="str">
        <f t="shared" si="38"/>
        <v>SC</v>
      </c>
      <c r="F284" t="s">
        <v>32</v>
      </c>
      <c r="G284" t="s">
        <v>30</v>
      </c>
      <c r="H284">
        <v>420</v>
      </c>
      <c r="I284" t="str">
        <f>"Innovations Children's Centre"</f>
        <v>Innovations Children's Centre</v>
      </c>
      <c r="J284" t="str">
        <f t="shared" si="41"/>
        <v>Access to Support provision Other Agency And Contracted Services Agency And Contracted Services Early Intervention Childcare Funding Childrens S</v>
      </c>
    </row>
    <row r="285" spans="1:10" x14ac:dyDescent="0.35">
      <c r="A285" t="str">
        <f t="shared" si="40"/>
        <v>MAY</v>
      </c>
      <c r="B285" t="str">
        <f t="shared" si="36"/>
        <v>20</v>
      </c>
      <c r="C285" t="str">
        <f t="shared" si="37"/>
        <v>2020/21</v>
      </c>
      <c r="D285" t="str">
        <f>"SC EY 215984"</f>
        <v>SC EY 215984</v>
      </c>
      <c r="E285" t="str">
        <f t="shared" si="38"/>
        <v>SC</v>
      </c>
      <c r="F285" t="s">
        <v>32</v>
      </c>
      <c r="G285" t="s">
        <v>30</v>
      </c>
      <c r="H285">
        <v>224</v>
      </c>
      <c r="I285" t="str">
        <f>"Jubilee Children's Centre"</f>
        <v>Jubilee Children's Centre</v>
      </c>
      <c r="J285" t="str">
        <f t="shared" si="41"/>
        <v>Access to Support provision Other Agency And Contracted Services Agency And Contracted Services Early Intervention Childcare Funding Childrens S</v>
      </c>
    </row>
    <row r="286" spans="1:10" x14ac:dyDescent="0.35">
      <c r="A286" t="str">
        <f t="shared" si="40"/>
        <v>MAY</v>
      </c>
      <c r="B286" t="str">
        <f t="shared" si="36"/>
        <v>20</v>
      </c>
      <c r="C286" t="str">
        <f t="shared" si="37"/>
        <v>2020/21</v>
      </c>
      <c r="D286" t="str">
        <f>"SC EY 215975"</f>
        <v>SC EY 215975</v>
      </c>
      <c r="E286" t="str">
        <f t="shared" si="38"/>
        <v>SC</v>
      </c>
      <c r="F286" t="s">
        <v>32</v>
      </c>
      <c r="G286" t="s">
        <v>30</v>
      </c>
      <c r="H286">
        <v>286</v>
      </c>
      <c r="I286" t="str">
        <f>"Ash Green Childrens Centre"</f>
        <v>Ash Green Childrens Centre</v>
      </c>
      <c r="J286" t="str">
        <f t="shared" si="41"/>
        <v>Access to Support provision Other Agency And Contracted Services Agency And Contracted Services Early Intervention Childcare Funding Childrens S</v>
      </c>
    </row>
    <row r="287" spans="1:10" x14ac:dyDescent="0.35">
      <c r="A287" t="str">
        <f t="shared" si="40"/>
        <v>MAY</v>
      </c>
      <c r="B287" t="str">
        <f t="shared" si="36"/>
        <v>20</v>
      </c>
      <c r="C287" t="str">
        <f t="shared" si="37"/>
        <v>2020/21</v>
      </c>
      <c r="D287" t="str">
        <f>"SC EY 215983"</f>
        <v>SC EY 215983</v>
      </c>
      <c r="E287" t="str">
        <f t="shared" si="38"/>
        <v>SC</v>
      </c>
      <c r="F287" t="s">
        <v>32</v>
      </c>
      <c r="G287" t="s">
        <v>30</v>
      </c>
      <c r="H287">
        <v>1316</v>
      </c>
      <c r="I287" t="str">
        <f>"Kevin Pearce Childrens Centre"</f>
        <v>Kevin Pearce Childrens Centre</v>
      </c>
      <c r="J287" t="str">
        <f t="shared" si="41"/>
        <v>Access to Support provision Other Agency And Contracted Services Agency And Contracted Services Early Intervention Childcare Funding Childrens S</v>
      </c>
    </row>
    <row r="288" spans="1:10" x14ac:dyDescent="0.35">
      <c r="A288" t="str">
        <f t="shared" si="40"/>
        <v>MAY</v>
      </c>
      <c r="B288" t="str">
        <f t="shared" si="36"/>
        <v>20</v>
      </c>
      <c r="C288" t="str">
        <f t="shared" si="37"/>
        <v>2020/21</v>
      </c>
      <c r="D288" t="str">
        <f>"SC EY 215987"</f>
        <v>SC EY 215987</v>
      </c>
      <c r="E288" t="str">
        <f t="shared" si="38"/>
        <v>SC</v>
      </c>
      <c r="F288" t="s">
        <v>32</v>
      </c>
      <c r="G288" t="s">
        <v>30</v>
      </c>
      <c r="H288">
        <v>279</v>
      </c>
      <c r="I288" t="str">
        <f>"Todmorden Children's Centre"</f>
        <v>Todmorden Children's Centre</v>
      </c>
      <c r="J288" t="str">
        <f t="shared" si="41"/>
        <v>Access to Support provision Other Agency And Contracted Services Agency And Contracted Services Early Intervention Childcare Funding Childrens S</v>
      </c>
    </row>
    <row r="289" spans="1:10" x14ac:dyDescent="0.35">
      <c r="A289" t="str">
        <f t="shared" si="40"/>
        <v>MAY</v>
      </c>
      <c r="B289" t="str">
        <f t="shared" si="36"/>
        <v>20</v>
      </c>
      <c r="C289" t="str">
        <f t="shared" si="37"/>
        <v>2020/21</v>
      </c>
      <c r="D289" t="str">
        <f>"SC EY 215180"</f>
        <v>SC EY 215180</v>
      </c>
      <c r="E289" t="str">
        <f t="shared" si="38"/>
        <v>SC</v>
      </c>
      <c r="F289" t="s">
        <v>32</v>
      </c>
      <c r="G289" t="s">
        <v>30</v>
      </c>
      <c r="H289">
        <v>324</v>
      </c>
      <c r="I289" t="str">
        <f>"Family and Childcare Trust"</f>
        <v>Family and Childcare Trust</v>
      </c>
      <c r="J289" t="str">
        <f>"CIS Running Costs Expenses Supplies And Services Early Years &amp; Childcare Sufficiency Team Childrens Services Unit"</f>
        <v>CIS Running Costs Expenses Supplies And Services Early Years &amp; Childcare Sufficiency Team Childrens Services Unit</v>
      </c>
    </row>
    <row r="290" spans="1:10" x14ac:dyDescent="0.35">
      <c r="A290" t="str">
        <f t="shared" si="40"/>
        <v>MAY</v>
      </c>
      <c r="B290" t="str">
        <f t="shared" si="36"/>
        <v>20</v>
      </c>
      <c r="C290" t="str">
        <f t="shared" si="37"/>
        <v>2020/21</v>
      </c>
      <c r="D290" t="str">
        <f>"SC EY 215945"</f>
        <v>SC EY 215945</v>
      </c>
      <c r="E290" t="str">
        <f t="shared" si="38"/>
        <v>SC</v>
      </c>
      <c r="F290" t="s">
        <v>32</v>
      </c>
      <c r="G290" t="s">
        <v>30</v>
      </c>
      <c r="H290">
        <v>1755</v>
      </c>
      <c r="I290" t="str">
        <f>"Crossley Mill Nursery"</f>
        <v>Crossley Mill Nursery</v>
      </c>
      <c r="J290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291" spans="1:10" x14ac:dyDescent="0.35">
      <c r="A291" t="str">
        <f t="shared" si="40"/>
        <v>MAY</v>
      </c>
      <c r="B291" t="str">
        <f t="shared" si="36"/>
        <v>20</v>
      </c>
      <c r="C291" t="str">
        <f t="shared" si="37"/>
        <v>2020/21</v>
      </c>
      <c r="D291" t="str">
        <f>"SC EY 215932"</f>
        <v>SC EY 215932</v>
      </c>
      <c r="E291" t="str">
        <f t="shared" si="38"/>
        <v>SC</v>
      </c>
      <c r="F291" t="s">
        <v>32</v>
      </c>
      <c r="G291" t="s">
        <v>30</v>
      </c>
      <c r="H291">
        <v>162</v>
      </c>
      <c r="I291" t="str">
        <f>"Todmorden Children's Centre"</f>
        <v>Todmorden Children's Centre</v>
      </c>
      <c r="J291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292" spans="1:10" x14ac:dyDescent="0.35">
      <c r="A292" t="str">
        <f t="shared" si="40"/>
        <v>MAY</v>
      </c>
      <c r="B292" t="str">
        <f t="shared" si="36"/>
        <v>20</v>
      </c>
      <c r="C292" t="str">
        <f t="shared" si="37"/>
        <v>2020/21</v>
      </c>
      <c r="D292" t="str">
        <f>"SC FS 215687"</f>
        <v>SC FS 215687</v>
      </c>
      <c r="E292" t="str">
        <f t="shared" si="38"/>
        <v>SC</v>
      </c>
      <c r="F292" t="s">
        <v>33</v>
      </c>
      <c r="G292" t="s">
        <v>30</v>
      </c>
      <c r="H292">
        <v>904.5</v>
      </c>
      <c r="I292" t="str">
        <f>"Coram Academy Limited"</f>
        <v>Coram Academy Limited</v>
      </c>
      <c r="J292" t="str">
        <f>"Subscriptions Grants And Subscriptions Supplies And Services Fostering Team Childrens Care Services"</f>
        <v>Subscriptions Grants And Subscriptions Supplies And Services Fostering Team Childrens Care Services</v>
      </c>
    </row>
    <row r="293" spans="1:10" x14ac:dyDescent="0.35">
      <c r="A293" t="str">
        <f t="shared" si="40"/>
        <v>MAY</v>
      </c>
      <c r="B293" t="str">
        <f t="shared" si="36"/>
        <v>20</v>
      </c>
      <c r="C293" t="str">
        <f t="shared" si="37"/>
        <v>2020/21</v>
      </c>
      <c r="D293" t="str">
        <f>"SC FS 215687"</f>
        <v>SC FS 215687</v>
      </c>
      <c r="E293" t="str">
        <f t="shared" si="38"/>
        <v>SC</v>
      </c>
      <c r="F293" t="s">
        <v>33</v>
      </c>
      <c r="G293" t="s">
        <v>30</v>
      </c>
      <c r="H293">
        <v>351.75</v>
      </c>
      <c r="I293" t="str">
        <f>"Coram Academy Limited"</f>
        <v>Coram Academy Limited</v>
      </c>
      <c r="J293" t="str">
        <f>"Subscriptions Grants And Subscriptions Supplies And Services Fostering Team Childrens Care Services"</f>
        <v>Subscriptions Grants And Subscriptions Supplies And Services Fostering Team Childrens Care Services</v>
      </c>
    </row>
    <row r="294" spans="1:10" x14ac:dyDescent="0.35">
      <c r="A294" t="str">
        <f t="shared" si="40"/>
        <v>MAY</v>
      </c>
      <c r="B294" t="str">
        <f t="shared" si="36"/>
        <v>20</v>
      </c>
      <c r="C294" t="str">
        <f t="shared" si="37"/>
        <v>2020/21</v>
      </c>
      <c r="D294" t="str">
        <f>"SC FS 215687"</f>
        <v>SC FS 215687</v>
      </c>
      <c r="E294" t="str">
        <f t="shared" si="38"/>
        <v>SC</v>
      </c>
      <c r="F294" t="s">
        <v>33</v>
      </c>
      <c r="G294" t="s">
        <v>30</v>
      </c>
      <c r="H294">
        <v>1658.25</v>
      </c>
      <c r="I294" t="str">
        <f>"Coram Academy Limited"</f>
        <v>Coram Academy Limited</v>
      </c>
      <c r="J294" t="str">
        <f>"Subscriptions Grants And Subscriptions Supplies And Services Fostering Team Childrens Care Services"</f>
        <v>Subscriptions Grants And Subscriptions Supplies And Services Fostering Team Childrens Care Services</v>
      </c>
    </row>
    <row r="295" spans="1:10" x14ac:dyDescent="0.35">
      <c r="A295" t="str">
        <f t="shared" si="40"/>
        <v>MAY</v>
      </c>
      <c r="B295" t="str">
        <f t="shared" si="36"/>
        <v>20</v>
      </c>
      <c r="C295" t="str">
        <f t="shared" si="37"/>
        <v>2020/21</v>
      </c>
      <c r="D295" t="str">
        <f>"SC FS 215815"</f>
        <v>SC FS 215815</v>
      </c>
      <c r="E295" t="str">
        <f t="shared" si="38"/>
        <v>SC</v>
      </c>
      <c r="F295" t="s">
        <v>33</v>
      </c>
      <c r="G295" t="s">
        <v>30</v>
      </c>
      <c r="H295">
        <v>2203.5</v>
      </c>
      <c r="I295" t="str">
        <f>"Fostering Network"</f>
        <v>Fostering Network</v>
      </c>
      <c r="J295" t="str">
        <f>"Subscriptions Grants And Subscriptions Supplies And Services Fostering Team Childrens Care Services"</f>
        <v>Subscriptions Grants And Subscriptions Supplies And Services Fostering Team Childrens Care Services</v>
      </c>
    </row>
    <row r="296" spans="1:10" x14ac:dyDescent="0.35">
      <c r="A296" t="str">
        <f t="shared" si="40"/>
        <v>MAY</v>
      </c>
      <c r="B296" t="str">
        <f t="shared" si="36"/>
        <v>20</v>
      </c>
      <c r="C296" t="str">
        <f t="shared" si="37"/>
        <v>2020/21</v>
      </c>
      <c r="D296" t="str">
        <f>"SC FS 215815"</f>
        <v>SC FS 215815</v>
      </c>
      <c r="E296" t="str">
        <f t="shared" si="38"/>
        <v>SC</v>
      </c>
      <c r="F296" t="s">
        <v>33</v>
      </c>
      <c r="G296" t="s">
        <v>30</v>
      </c>
      <c r="H296">
        <v>2994.5</v>
      </c>
      <c r="I296" t="str">
        <f>"Fostering Network"</f>
        <v>Fostering Network</v>
      </c>
      <c r="J296" t="str">
        <f>"Subscriptions Grants And Subscriptions Supplies And Services Fostering Team Childrens Care Services"</f>
        <v>Subscriptions Grants And Subscriptions Supplies And Services Fostering Team Childrens Care Services</v>
      </c>
    </row>
    <row r="297" spans="1:10" x14ac:dyDescent="0.35">
      <c r="A297" t="str">
        <f t="shared" si="40"/>
        <v>MAY</v>
      </c>
      <c r="B297" t="str">
        <f t="shared" si="36"/>
        <v>20</v>
      </c>
      <c r="C297" t="str">
        <f t="shared" si="37"/>
        <v>2020/21</v>
      </c>
      <c r="D297" t="str">
        <f>"SC PF 215479"</f>
        <v>SC PF 215479</v>
      </c>
      <c r="E297" t="str">
        <f t="shared" si="38"/>
        <v>SC</v>
      </c>
      <c r="F297" t="s">
        <v>33</v>
      </c>
      <c r="G297" t="s">
        <v>30</v>
      </c>
      <c r="H297">
        <v>3276</v>
      </c>
      <c r="I297" t="str">
        <f>"Barnardos (Fostering &amp; Adoption)"</f>
        <v>Barnardos (Fostering &amp; Adoption)</v>
      </c>
      <c r="J297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298" spans="1:10" x14ac:dyDescent="0.35">
      <c r="A298" t="str">
        <f t="shared" si="40"/>
        <v>MAY</v>
      </c>
      <c r="B298" t="str">
        <f t="shared" si="36"/>
        <v>20</v>
      </c>
      <c r="C298" t="str">
        <f t="shared" si="37"/>
        <v>2020/21</v>
      </c>
      <c r="D298" t="str">
        <f>"SC PF 215456"</f>
        <v>SC PF 215456</v>
      </c>
      <c r="E298" t="str">
        <f t="shared" si="38"/>
        <v>SC</v>
      </c>
      <c r="F298" t="s">
        <v>33</v>
      </c>
      <c r="G298" t="s">
        <v>30</v>
      </c>
      <c r="H298">
        <v>3516</v>
      </c>
      <c r="I298" t="str">
        <f>"Barnardos (Fostering &amp; Adoption)"</f>
        <v>Barnardos (Fostering &amp; Adoption)</v>
      </c>
      <c r="J298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299" spans="1:10" x14ac:dyDescent="0.35">
      <c r="A299" t="str">
        <f t="shared" si="40"/>
        <v>MAY</v>
      </c>
      <c r="B299" t="str">
        <f t="shared" si="36"/>
        <v>20</v>
      </c>
      <c r="C299" t="str">
        <f t="shared" si="37"/>
        <v>2020/21</v>
      </c>
      <c r="D299" t="str">
        <f>"SC PF 215478"</f>
        <v>SC PF 215478</v>
      </c>
      <c r="E299" t="str">
        <f t="shared" si="38"/>
        <v>SC</v>
      </c>
      <c r="F299" t="s">
        <v>33</v>
      </c>
      <c r="G299" t="s">
        <v>30</v>
      </c>
      <c r="H299">
        <v>3230.95</v>
      </c>
      <c r="I299" t="str">
        <f>"Barnardos (Fostering &amp; Adoption)"</f>
        <v>Barnardos (Fostering &amp; Adoption)</v>
      </c>
      <c r="J299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300" spans="1:10" x14ac:dyDescent="0.35">
      <c r="A300" t="str">
        <f t="shared" si="40"/>
        <v>MAY</v>
      </c>
      <c r="B300" t="str">
        <f t="shared" si="36"/>
        <v>20</v>
      </c>
      <c r="C300" t="str">
        <f t="shared" si="37"/>
        <v>2020/21</v>
      </c>
      <c r="D300" t="str">
        <f>"SC PF 215529"</f>
        <v>SC PF 215529</v>
      </c>
      <c r="E300" t="str">
        <f t="shared" si="38"/>
        <v>SC</v>
      </c>
      <c r="F300" t="s">
        <v>33</v>
      </c>
      <c r="G300" t="s">
        <v>30</v>
      </c>
      <c r="H300">
        <v>3244.46</v>
      </c>
      <c r="I300" t="str">
        <f>"The Childrens Family Trust"</f>
        <v>The Childrens Family Trust</v>
      </c>
      <c r="J300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301" spans="1:10" x14ac:dyDescent="0.35">
      <c r="A301" t="str">
        <f t="shared" si="40"/>
        <v>MAY</v>
      </c>
      <c r="B301" t="str">
        <f t="shared" si="36"/>
        <v>20</v>
      </c>
      <c r="C301" t="str">
        <f t="shared" si="37"/>
        <v>2020/21</v>
      </c>
      <c r="D301" t="str">
        <f>"SS SL 113995"</f>
        <v>SS SL 113995</v>
      </c>
      <c r="E301" t="str">
        <f t="shared" si="38"/>
        <v>SS</v>
      </c>
      <c r="F301" t="s">
        <v>25</v>
      </c>
      <c r="G301" t="s">
        <v>22</v>
      </c>
      <c r="H301">
        <v>7403.19</v>
      </c>
      <c r="I301" t="str">
        <f>"Mencap Northern Division"</f>
        <v>Mencap Northern Division</v>
      </c>
      <c r="J301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302" spans="1:10" x14ac:dyDescent="0.35">
      <c r="A302" t="str">
        <f t="shared" si="40"/>
        <v>MAY</v>
      </c>
      <c r="B302" t="str">
        <f t="shared" si="36"/>
        <v>20</v>
      </c>
      <c r="C302" t="str">
        <f t="shared" si="37"/>
        <v>2020/21</v>
      </c>
      <c r="D302" t="str">
        <f>"SS SL 113995"</f>
        <v>SS SL 113995</v>
      </c>
      <c r="E302" t="str">
        <f t="shared" si="38"/>
        <v>SS</v>
      </c>
      <c r="F302" t="s">
        <v>25</v>
      </c>
      <c r="G302" t="s">
        <v>22</v>
      </c>
      <c r="H302">
        <v>11514.4</v>
      </c>
      <c r="I302" t="str">
        <f>"Mencap Northern Division"</f>
        <v>Mencap Northern Division</v>
      </c>
      <c r="J302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303" spans="1:10" x14ac:dyDescent="0.35">
      <c r="A303" t="str">
        <f t="shared" si="40"/>
        <v>MAY</v>
      </c>
      <c r="B303" t="str">
        <f t="shared" si="36"/>
        <v>20</v>
      </c>
      <c r="C303" t="str">
        <f t="shared" si="37"/>
        <v>2020/21</v>
      </c>
      <c r="D303" t="str">
        <f>"SS SL 113998"</f>
        <v>SS SL 113998</v>
      </c>
      <c r="E303" t="str">
        <f t="shared" si="38"/>
        <v>SS</v>
      </c>
      <c r="F303" t="s">
        <v>25</v>
      </c>
      <c r="G303" t="s">
        <v>22</v>
      </c>
      <c r="H303">
        <v>18479</v>
      </c>
      <c r="I303" t="str">
        <f>"Possabilities CIC"</f>
        <v>Possabilities CIC</v>
      </c>
      <c r="J303" t="str">
        <f>"Vale Street (Possibilities) Voluntary Associations Agency And Contracted Services Supported Living Adult Health &amp; Social Care"</f>
        <v>Vale Street (Possibilities) Voluntary Associations Agency And Contracted Services Supported Living Adult Health &amp; Social Care</v>
      </c>
    </row>
    <row r="304" spans="1:10" x14ac:dyDescent="0.35">
      <c r="A304" t="str">
        <f t="shared" si="40"/>
        <v>MAY</v>
      </c>
      <c r="B304" t="str">
        <f t="shared" si="36"/>
        <v>20</v>
      </c>
      <c r="C304" t="str">
        <f t="shared" si="37"/>
        <v>2020/21</v>
      </c>
      <c r="E304" t="str">
        <f t="shared" si="38"/>
        <v/>
      </c>
      <c r="F304" t="s">
        <v>25</v>
      </c>
      <c r="G304" t="s">
        <v>22</v>
      </c>
      <c r="H304">
        <v>13933.68</v>
      </c>
      <c r="I304" t="str">
        <f>"Possabilities CIC"</f>
        <v>Possabilities CIC</v>
      </c>
      <c r="J304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305" spans="1:10" x14ac:dyDescent="0.35">
      <c r="A305" t="str">
        <f t="shared" si="40"/>
        <v>MAY</v>
      </c>
      <c r="B305" t="str">
        <f t="shared" si="36"/>
        <v>20</v>
      </c>
      <c r="C305" t="str">
        <f t="shared" si="37"/>
        <v>2020/21</v>
      </c>
      <c r="D305" t="str">
        <f>"SS SL 113998"</f>
        <v>SS SL 113998</v>
      </c>
      <c r="E305" t="str">
        <f t="shared" si="38"/>
        <v>SS</v>
      </c>
      <c r="F305" t="s">
        <v>25</v>
      </c>
      <c r="G305" t="s">
        <v>22</v>
      </c>
      <c r="H305">
        <v>13807.4</v>
      </c>
      <c r="I305" t="str">
        <f>"Possabilities CIC"</f>
        <v>Possabilities CIC</v>
      </c>
      <c r="J305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306" spans="1:10" x14ac:dyDescent="0.35">
      <c r="A306" t="str">
        <f t="shared" si="40"/>
        <v>MAY</v>
      </c>
      <c r="B306" t="str">
        <f t="shared" si="36"/>
        <v>20</v>
      </c>
      <c r="C306" t="str">
        <f t="shared" si="37"/>
        <v>2020/21</v>
      </c>
      <c r="D306" t="str">
        <f>"SS SL 113998"</f>
        <v>SS SL 113998</v>
      </c>
      <c r="E306" t="str">
        <f t="shared" si="38"/>
        <v>SS</v>
      </c>
      <c r="F306" t="s">
        <v>25</v>
      </c>
      <c r="G306" t="s">
        <v>22</v>
      </c>
      <c r="H306">
        <v>18570.599999999999</v>
      </c>
      <c r="I306" t="str">
        <f>"Possabilities CIC"</f>
        <v>Possabilities CIC</v>
      </c>
      <c r="J306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307" spans="1:10" x14ac:dyDescent="0.35">
      <c r="A307" t="str">
        <f t="shared" ref="A307:A338" si="42">"MAY"</f>
        <v>MAY</v>
      </c>
      <c r="B307" t="str">
        <f t="shared" si="36"/>
        <v>20</v>
      </c>
      <c r="C307" t="str">
        <f t="shared" si="37"/>
        <v>2020/21</v>
      </c>
      <c r="D307" t="str">
        <f>"SS SL 114110"</f>
        <v>SS SL 114110</v>
      </c>
      <c r="E307" t="str">
        <f t="shared" si="38"/>
        <v>SS</v>
      </c>
      <c r="F307" t="s">
        <v>25</v>
      </c>
      <c r="G307" t="s">
        <v>22</v>
      </c>
      <c r="H307">
        <v>2213.48</v>
      </c>
      <c r="I307" t="str">
        <f>"Turning Point Scotland Services"</f>
        <v>Turning Point Scotland Services</v>
      </c>
      <c r="J307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308" spans="1:10" x14ac:dyDescent="0.35">
      <c r="A308" t="str">
        <f t="shared" si="42"/>
        <v>MAY</v>
      </c>
      <c r="B308" t="str">
        <f t="shared" si="36"/>
        <v>20</v>
      </c>
      <c r="C308" t="str">
        <f t="shared" si="37"/>
        <v>2020/21</v>
      </c>
      <c r="D308" t="str">
        <f>"SS SL 114110"</f>
        <v>SS SL 114110</v>
      </c>
      <c r="E308" t="str">
        <f t="shared" si="38"/>
        <v>SS</v>
      </c>
      <c r="F308" t="s">
        <v>25</v>
      </c>
      <c r="G308" t="s">
        <v>22</v>
      </c>
      <c r="H308">
        <v>2201.96</v>
      </c>
      <c r="I308" t="str">
        <f>"Turning Point Scotland Services"</f>
        <v>Turning Point Scotland Services</v>
      </c>
      <c r="J308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309" spans="1:10" x14ac:dyDescent="0.35">
      <c r="A309" t="str">
        <f t="shared" si="42"/>
        <v>MAY</v>
      </c>
      <c r="B309" t="str">
        <f t="shared" si="36"/>
        <v>20</v>
      </c>
      <c r="C309" t="str">
        <f t="shared" si="37"/>
        <v>2020/21</v>
      </c>
      <c r="D309" t="str">
        <f>"SS SL 113994"</f>
        <v>SS SL 113994</v>
      </c>
      <c r="E309" t="str">
        <f t="shared" si="38"/>
        <v>SS</v>
      </c>
      <c r="F309" t="s">
        <v>25</v>
      </c>
      <c r="G309" t="s">
        <v>22</v>
      </c>
      <c r="H309">
        <v>17789.2</v>
      </c>
      <c r="I309" t="str">
        <f>"The Mayfield Trust"</f>
        <v>The Mayfield Trust</v>
      </c>
      <c r="J309" t="str">
        <f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310" spans="1:10" x14ac:dyDescent="0.35">
      <c r="A310" t="str">
        <f t="shared" si="42"/>
        <v>MAY</v>
      </c>
      <c r="B310" t="str">
        <f t="shared" si="36"/>
        <v>20</v>
      </c>
      <c r="C310" t="str">
        <f t="shared" si="37"/>
        <v>2020/21</v>
      </c>
      <c r="D310" t="str">
        <f>"SS SL 113990"</f>
        <v>SS SL 113990</v>
      </c>
      <c r="E310" t="str">
        <f t="shared" si="38"/>
        <v>SS</v>
      </c>
      <c r="F310" t="s">
        <v>25</v>
      </c>
      <c r="G310" t="s">
        <v>22</v>
      </c>
      <c r="H310">
        <v>23173.599999999999</v>
      </c>
      <c r="I310" t="str">
        <f>"Creative Support Ltd"</f>
        <v>Creative Support Ltd</v>
      </c>
      <c r="J310" t="str">
        <f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311" spans="1:10" x14ac:dyDescent="0.35">
      <c r="A311" t="str">
        <f t="shared" si="42"/>
        <v>MAY</v>
      </c>
      <c r="B311" t="str">
        <f t="shared" si="36"/>
        <v>20</v>
      </c>
      <c r="C311" t="str">
        <f t="shared" si="37"/>
        <v>2020/21</v>
      </c>
      <c r="D311" t="str">
        <f>"SS SL 113990"</f>
        <v>SS SL 113990</v>
      </c>
      <c r="E311" t="str">
        <f t="shared" si="38"/>
        <v>SS</v>
      </c>
      <c r="F311" t="s">
        <v>25</v>
      </c>
      <c r="G311" t="s">
        <v>22</v>
      </c>
      <c r="H311">
        <v>14834.4</v>
      </c>
      <c r="I311" t="str">
        <f>"Creative Support Ltd"</f>
        <v>Creative Support Ltd</v>
      </c>
      <c r="J311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312" spans="1:10" x14ac:dyDescent="0.35">
      <c r="A312" t="str">
        <f t="shared" si="42"/>
        <v>MAY</v>
      </c>
      <c r="B312" t="str">
        <f t="shared" si="36"/>
        <v>20</v>
      </c>
      <c r="C312" t="str">
        <f t="shared" si="37"/>
        <v>2020/21</v>
      </c>
      <c r="D312" t="str">
        <f>"SS SL 113997"</f>
        <v>SS SL 113997</v>
      </c>
      <c r="E312" t="str">
        <f t="shared" si="38"/>
        <v>SS</v>
      </c>
      <c r="F312" t="s">
        <v>25</v>
      </c>
      <c r="G312" t="s">
        <v>22</v>
      </c>
      <c r="H312">
        <v>13705.6</v>
      </c>
      <c r="I312" t="str">
        <f>"Future Directions CIC"</f>
        <v>Future Directions CIC</v>
      </c>
      <c r="J312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313" spans="1:10" x14ac:dyDescent="0.35">
      <c r="A313" t="str">
        <f t="shared" si="42"/>
        <v>MAY</v>
      </c>
      <c r="B313" t="str">
        <f t="shared" si="36"/>
        <v>20</v>
      </c>
      <c r="C313" t="str">
        <f t="shared" si="37"/>
        <v>2020/21</v>
      </c>
      <c r="D313" t="str">
        <f>"SS SL 113997"</f>
        <v>SS SL 113997</v>
      </c>
      <c r="E313" t="str">
        <f t="shared" si="38"/>
        <v>SS</v>
      </c>
      <c r="F313" t="s">
        <v>25</v>
      </c>
      <c r="G313" t="s">
        <v>22</v>
      </c>
      <c r="H313">
        <v>13197.64</v>
      </c>
      <c r="I313" t="str">
        <f>"Future Directions CIC"</f>
        <v>Future Directions CIC</v>
      </c>
      <c r="J313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314" spans="1:10" x14ac:dyDescent="0.35">
      <c r="A314" t="str">
        <f t="shared" si="42"/>
        <v>MAY</v>
      </c>
      <c r="B314" t="str">
        <f t="shared" si="36"/>
        <v>20</v>
      </c>
      <c r="C314" t="str">
        <f t="shared" si="37"/>
        <v>2020/21</v>
      </c>
      <c r="D314" t="str">
        <f>"SS SL 113997"</f>
        <v>SS SL 113997</v>
      </c>
      <c r="E314" t="str">
        <f t="shared" si="38"/>
        <v>SS</v>
      </c>
      <c r="F314" t="s">
        <v>25</v>
      </c>
      <c r="G314" t="s">
        <v>22</v>
      </c>
      <c r="H314">
        <v>4221.71</v>
      </c>
      <c r="I314" t="str">
        <f>"Future Directions CIC"</f>
        <v>Future Directions CIC</v>
      </c>
      <c r="J314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315" spans="1:10" x14ac:dyDescent="0.35">
      <c r="A315" t="str">
        <f t="shared" si="42"/>
        <v>MAY</v>
      </c>
      <c r="B315" t="str">
        <f t="shared" si="36"/>
        <v>20</v>
      </c>
      <c r="C315" t="str">
        <f t="shared" si="37"/>
        <v>2020/21</v>
      </c>
      <c r="D315" t="str">
        <f>"SS SL 113994"</f>
        <v>SS SL 113994</v>
      </c>
      <c r="E315" t="str">
        <f t="shared" si="38"/>
        <v>SS</v>
      </c>
      <c r="F315" t="s">
        <v>25</v>
      </c>
      <c r="G315" t="s">
        <v>22</v>
      </c>
      <c r="H315">
        <v>19289.2</v>
      </c>
      <c r="I315" t="str">
        <f>"The Mayfield Trust"</f>
        <v>The Mayfield Trust</v>
      </c>
      <c r="J315" t="str">
        <f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316" spans="1:10" x14ac:dyDescent="0.35">
      <c r="A316" t="str">
        <f t="shared" si="42"/>
        <v>MAY</v>
      </c>
      <c r="B316" t="str">
        <f t="shared" si="36"/>
        <v>20</v>
      </c>
      <c r="C316" t="str">
        <f t="shared" si="37"/>
        <v>2020/21</v>
      </c>
      <c r="D316" t="str">
        <f t="shared" ref="D316:D321" si="43">"SS SL 113990"</f>
        <v>SS SL 113990</v>
      </c>
      <c r="E316" t="str">
        <f t="shared" si="38"/>
        <v>SS</v>
      </c>
      <c r="F316" t="s">
        <v>25</v>
      </c>
      <c r="G316" t="s">
        <v>22</v>
      </c>
      <c r="H316">
        <v>17490.400000000001</v>
      </c>
      <c r="I316" t="str">
        <f t="shared" ref="I316:I321" si="44">"Creative Support Ltd"</f>
        <v>Creative Support Ltd</v>
      </c>
      <c r="J316" t="str">
        <f>"42 Church Lane (Creative Support) Private Contractors Agency And Contracted Services Supported Living Adult Health &amp; Social Care"</f>
        <v>42 Church Lane (Creative Support) Private Contractors Agency And Contracted Services Supported Living Adult Health &amp; Social Care</v>
      </c>
    </row>
    <row r="317" spans="1:10" x14ac:dyDescent="0.35">
      <c r="A317" t="str">
        <f t="shared" si="42"/>
        <v>MAY</v>
      </c>
      <c r="B317" t="str">
        <f t="shared" si="36"/>
        <v>20</v>
      </c>
      <c r="C317" t="str">
        <f t="shared" si="37"/>
        <v>2020/21</v>
      </c>
      <c r="D317" t="str">
        <f t="shared" si="43"/>
        <v>SS SL 113990</v>
      </c>
      <c r="E317" t="str">
        <f t="shared" si="38"/>
        <v>SS</v>
      </c>
      <c r="F317" t="s">
        <v>25</v>
      </c>
      <c r="G317" t="s">
        <v>22</v>
      </c>
      <c r="H317">
        <v>11780</v>
      </c>
      <c r="I317" t="str">
        <f t="shared" si="44"/>
        <v>Creative Support Ltd</v>
      </c>
      <c r="J317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318" spans="1:10" x14ac:dyDescent="0.35">
      <c r="A318" t="str">
        <f t="shared" si="42"/>
        <v>MAY</v>
      </c>
      <c r="B318" t="str">
        <f t="shared" si="36"/>
        <v>20</v>
      </c>
      <c r="C318" t="str">
        <f t="shared" si="37"/>
        <v>2020/21</v>
      </c>
      <c r="D318" t="str">
        <f t="shared" si="43"/>
        <v>SS SL 113990</v>
      </c>
      <c r="E318" t="str">
        <f t="shared" si="38"/>
        <v>SS</v>
      </c>
      <c r="F318" t="s">
        <v>25</v>
      </c>
      <c r="G318" t="s">
        <v>22</v>
      </c>
      <c r="H318">
        <v>15664.4</v>
      </c>
      <c r="I318" t="str">
        <f t="shared" si="44"/>
        <v>Creative Support Ltd</v>
      </c>
      <c r="J318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319" spans="1:10" x14ac:dyDescent="0.35">
      <c r="A319" t="str">
        <f t="shared" si="42"/>
        <v>MAY</v>
      </c>
      <c r="B319" t="str">
        <f t="shared" si="36"/>
        <v>20</v>
      </c>
      <c r="C319" t="str">
        <f t="shared" si="37"/>
        <v>2020/21</v>
      </c>
      <c r="D319" t="str">
        <f t="shared" si="43"/>
        <v>SS SL 113990</v>
      </c>
      <c r="E319" t="str">
        <f t="shared" si="38"/>
        <v>SS</v>
      </c>
      <c r="F319" t="s">
        <v>25</v>
      </c>
      <c r="G319" t="s">
        <v>22</v>
      </c>
      <c r="H319">
        <v>13074.8</v>
      </c>
      <c r="I319" t="str">
        <f t="shared" si="44"/>
        <v>Creative Support Ltd</v>
      </c>
      <c r="J319" t="str">
        <f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320" spans="1:10" x14ac:dyDescent="0.35">
      <c r="A320" t="str">
        <f t="shared" si="42"/>
        <v>MAY</v>
      </c>
      <c r="B320" t="str">
        <f t="shared" si="36"/>
        <v>20</v>
      </c>
      <c r="C320" t="str">
        <f t="shared" si="37"/>
        <v>2020/21</v>
      </c>
      <c r="D320" t="str">
        <f t="shared" si="43"/>
        <v>SS SL 113990</v>
      </c>
      <c r="E320" t="str">
        <f t="shared" si="38"/>
        <v>SS</v>
      </c>
      <c r="F320" t="s">
        <v>25</v>
      </c>
      <c r="G320" t="s">
        <v>22</v>
      </c>
      <c r="H320">
        <v>15498.4</v>
      </c>
      <c r="I320" t="str">
        <f t="shared" si="44"/>
        <v>Creative Support Ltd</v>
      </c>
      <c r="J320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321" spans="1:10" x14ac:dyDescent="0.35">
      <c r="A321" t="str">
        <f t="shared" si="42"/>
        <v>MAY</v>
      </c>
      <c r="B321" t="str">
        <f t="shared" si="36"/>
        <v>20</v>
      </c>
      <c r="C321" t="str">
        <f t="shared" si="37"/>
        <v>2020/21</v>
      </c>
      <c r="D321" t="str">
        <f t="shared" si="43"/>
        <v>SS SL 113990</v>
      </c>
      <c r="E321" t="str">
        <f t="shared" si="38"/>
        <v>SS</v>
      </c>
      <c r="F321" t="s">
        <v>25</v>
      </c>
      <c r="G321" t="s">
        <v>22</v>
      </c>
      <c r="H321">
        <v>13855</v>
      </c>
      <c r="I321" t="str">
        <f t="shared" si="44"/>
        <v>Creative Support Ltd</v>
      </c>
      <c r="J321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322" spans="1:10" x14ac:dyDescent="0.35">
      <c r="A322" t="str">
        <f t="shared" si="42"/>
        <v>MAY</v>
      </c>
      <c r="B322" t="str">
        <f t="shared" ref="B322:B385" si="45">"20"</f>
        <v>20</v>
      </c>
      <c r="C322" t="str">
        <f t="shared" ref="C322:C385" si="46">"2020/21"</f>
        <v>2020/21</v>
      </c>
      <c r="D322" t="str">
        <f>"SS SL 113638"</f>
        <v>SS SL 113638</v>
      </c>
      <c r="E322" t="str">
        <f t="shared" ref="E322:E385" si="47">LEFT(D322,2)</f>
        <v>SS</v>
      </c>
      <c r="F322" t="s">
        <v>25</v>
      </c>
      <c r="G322" t="s">
        <v>22</v>
      </c>
      <c r="H322">
        <v>4849.76</v>
      </c>
      <c r="I322" t="str">
        <f>"Autism Plus Ltd"</f>
        <v>Autism Plus Ltd</v>
      </c>
      <c r="J322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323" spans="1:10" x14ac:dyDescent="0.35">
      <c r="A323" t="str">
        <f t="shared" si="42"/>
        <v>MAY</v>
      </c>
      <c r="B323" t="str">
        <f t="shared" si="45"/>
        <v>20</v>
      </c>
      <c r="C323" t="str">
        <f t="shared" si="46"/>
        <v>2020/21</v>
      </c>
      <c r="D323" t="str">
        <f>"SS SL 113638"</f>
        <v>SS SL 113638</v>
      </c>
      <c r="E323" t="str">
        <f t="shared" si="47"/>
        <v>SS</v>
      </c>
      <c r="F323" t="s">
        <v>25</v>
      </c>
      <c r="G323" t="s">
        <v>22</v>
      </c>
      <c r="H323">
        <v>4849.76</v>
      </c>
      <c r="I323" t="str">
        <f>"Autism Plus Ltd"</f>
        <v>Autism Plus Ltd</v>
      </c>
      <c r="J323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324" spans="1:10" x14ac:dyDescent="0.35">
      <c r="A324" t="str">
        <f t="shared" si="42"/>
        <v>MAY</v>
      </c>
      <c r="B324" t="str">
        <f t="shared" si="45"/>
        <v>20</v>
      </c>
      <c r="C324" t="str">
        <f t="shared" si="46"/>
        <v>2020/21</v>
      </c>
      <c r="D324" t="str">
        <f>"SS SL 113990"</f>
        <v>SS SL 113990</v>
      </c>
      <c r="E324" t="str">
        <f t="shared" si="47"/>
        <v>SS</v>
      </c>
      <c r="F324" t="s">
        <v>25</v>
      </c>
      <c r="G324" t="s">
        <v>22</v>
      </c>
      <c r="H324">
        <v>19817.509999999998</v>
      </c>
      <c r="I324" t="str">
        <f>"Creative Support Ltd"</f>
        <v>Creative Support Ltd</v>
      </c>
      <c r="J324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325" spans="1:10" x14ac:dyDescent="0.35">
      <c r="A325" t="str">
        <f t="shared" si="42"/>
        <v>MAY</v>
      </c>
      <c r="B325" t="str">
        <f t="shared" si="45"/>
        <v>20</v>
      </c>
      <c r="C325" t="str">
        <f t="shared" si="46"/>
        <v>2020/21</v>
      </c>
      <c r="D325" t="str">
        <f>"SS SL 113994"</f>
        <v>SS SL 113994</v>
      </c>
      <c r="E325" t="str">
        <f t="shared" si="47"/>
        <v>SS</v>
      </c>
      <c r="F325" t="s">
        <v>25</v>
      </c>
      <c r="G325" t="s">
        <v>22</v>
      </c>
      <c r="H325">
        <v>55687.56</v>
      </c>
      <c r="I325" t="str">
        <f>"The Mayfield Trust"</f>
        <v>The Mayfield Trust</v>
      </c>
      <c r="J325" t="str">
        <f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326" spans="1:10" x14ac:dyDescent="0.35">
      <c r="A326" t="str">
        <f t="shared" si="42"/>
        <v>MAY</v>
      </c>
      <c r="B326" t="str">
        <f t="shared" si="45"/>
        <v>20</v>
      </c>
      <c r="C326" t="str">
        <f t="shared" si="46"/>
        <v>2020/21</v>
      </c>
      <c r="D326" t="str">
        <f>"SS AD 113868"</f>
        <v>SS AD 113868</v>
      </c>
      <c r="E326" t="str">
        <f t="shared" si="47"/>
        <v>SS</v>
      </c>
      <c r="F326" t="s">
        <v>25</v>
      </c>
      <c r="G326" t="s">
        <v>22</v>
      </c>
      <c r="H326">
        <v>3372</v>
      </c>
      <c r="I326" t="str">
        <f t="shared" ref="I326:I333" si="48">"Anchor Trust"</f>
        <v>Anchor Trust</v>
      </c>
      <c r="J326" t="str">
        <f>"COVID 19 Additional Care Home Payments Private Contractors Agency And Contracted Services Residential &amp; Nursing Placements (Older People) Adult"</f>
        <v>COVID 19 Additional Care Home Payments Private Contractors Agency And Contracted Services Residential &amp; Nursing Placements (Older People) Adult</v>
      </c>
    </row>
    <row r="327" spans="1:10" x14ac:dyDescent="0.35">
      <c r="A327" t="str">
        <f t="shared" si="42"/>
        <v>MAY</v>
      </c>
      <c r="B327" t="str">
        <f t="shared" si="45"/>
        <v>20</v>
      </c>
      <c r="C327" t="str">
        <f t="shared" si="46"/>
        <v>2020/21</v>
      </c>
      <c r="D327" t="str">
        <f>"SS AD 114028"</f>
        <v>SS AD 114028</v>
      </c>
      <c r="E327" t="str">
        <f t="shared" si="47"/>
        <v>SS</v>
      </c>
      <c r="F327" t="s">
        <v>25</v>
      </c>
      <c r="G327" t="s">
        <v>22</v>
      </c>
      <c r="H327">
        <v>1686</v>
      </c>
      <c r="I327" t="str">
        <f t="shared" si="48"/>
        <v>Anchor Trust</v>
      </c>
      <c r="J327" t="str">
        <f>"COVID 19 Additional Care Home Payments Private Contractors Agency And Contracted Services Residential &amp; Nursing Placements (Older People) Adult"</f>
        <v>COVID 19 Additional Care Home Payments Private Contractors Agency And Contracted Services Residential &amp; Nursing Placements (Older People) Adult</v>
      </c>
    </row>
    <row r="328" spans="1:10" x14ac:dyDescent="0.35">
      <c r="A328" t="str">
        <f t="shared" si="42"/>
        <v>MAY</v>
      </c>
      <c r="B328" t="str">
        <f t="shared" si="45"/>
        <v>20</v>
      </c>
      <c r="C328" t="str">
        <f t="shared" si="46"/>
        <v>2020/21</v>
      </c>
      <c r="D328" t="str">
        <f>"SS AD 113874"</f>
        <v>SS AD 113874</v>
      </c>
      <c r="E328" t="str">
        <f t="shared" si="47"/>
        <v>SS</v>
      </c>
      <c r="F328" t="s">
        <v>25</v>
      </c>
      <c r="G328" t="s">
        <v>22</v>
      </c>
      <c r="H328">
        <v>2491</v>
      </c>
      <c r="I328" t="str">
        <f t="shared" si="48"/>
        <v>Anchor Trust</v>
      </c>
      <c r="J328" t="str">
        <f>"COVID 19 Additional Care Home Payments Private Contractors Agency And Contracted Services Residential &amp; Nursing Placements (Older People) Adult"</f>
        <v>COVID 19 Additional Care Home Payments Private Contractors Agency And Contracted Services Residential &amp; Nursing Placements (Older People) Adult</v>
      </c>
    </row>
    <row r="329" spans="1:10" x14ac:dyDescent="0.35">
      <c r="A329" t="str">
        <f t="shared" si="42"/>
        <v>MAY</v>
      </c>
      <c r="B329" t="str">
        <f t="shared" si="45"/>
        <v>20</v>
      </c>
      <c r="C329" t="str">
        <f t="shared" si="46"/>
        <v>2020/21</v>
      </c>
      <c r="D329" t="str">
        <f>"SS AD 114034"</f>
        <v>SS AD 114034</v>
      </c>
      <c r="E329" t="str">
        <f t="shared" si="47"/>
        <v>SS</v>
      </c>
      <c r="F329" t="s">
        <v>25</v>
      </c>
      <c r="G329" t="s">
        <v>22</v>
      </c>
      <c r="H329">
        <v>1245</v>
      </c>
      <c r="I329" t="str">
        <f t="shared" si="48"/>
        <v>Anchor Trust</v>
      </c>
      <c r="J329" t="str">
        <f>"COVID 19 Additional Care Home Payments Private Contractors Agency And Contracted Services Residential &amp; Nursing Placements (Older People) Adult"</f>
        <v>COVID 19 Additional Care Home Payments Private Contractors Agency And Contracted Services Residential &amp; Nursing Placements (Older People) Adult</v>
      </c>
    </row>
    <row r="330" spans="1:10" x14ac:dyDescent="0.35">
      <c r="A330" t="str">
        <f t="shared" si="42"/>
        <v>MAY</v>
      </c>
      <c r="B330" t="str">
        <f t="shared" si="45"/>
        <v>20</v>
      </c>
      <c r="C330" t="str">
        <f t="shared" si="46"/>
        <v>2020/21</v>
      </c>
      <c r="E330" t="str">
        <f t="shared" si="47"/>
        <v/>
      </c>
      <c r="F330" t="s">
        <v>25</v>
      </c>
      <c r="G330" t="s">
        <v>22</v>
      </c>
      <c r="H330">
        <v>16078.48</v>
      </c>
      <c r="I330" t="str">
        <f t="shared" si="48"/>
        <v>Anchor Trust</v>
      </c>
      <c r="J330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331" spans="1:10" x14ac:dyDescent="0.35">
      <c r="A331" t="str">
        <f t="shared" si="42"/>
        <v>MAY</v>
      </c>
      <c r="B331" t="str">
        <f t="shared" si="45"/>
        <v>20</v>
      </c>
      <c r="C331" t="str">
        <f t="shared" si="46"/>
        <v>2020/21</v>
      </c>
      <c r="E331" t="str">
        <f t="shared" si="47"/>
        <v/>
      </c>
      <c r="F331" t="s">
        <v>25</v>
      </c>
      <c r="G331" t="s">
        <v>22</v>
      </c>
      <c r="H331">
        <v>10397.08</v>
      </c>
      <c r="I331" t="str">
        <f t="shared" si="48"/>
        <v>Anchor Trust</v>
      </c>
      <c r="J331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332" spans="1:10" x14ac:dyDescent="0.35">
      <c r="A332" t="str">
        <f t="shared" si="42"/>
        <v>MAY</v>
      </c>
      <c r="B332" t="str">
        <f t="shared" si="45"/>
        <v>20</v>
      </c>
      <c r="C332" t="str">
        <f t="shared" si="46"/>
        <v>2020/21</v>
      </c>
      <c r="E332" t="str">
        <f t="shared" si="47"/>
        <v/>
      </c>
      <c r="F332" t="s">
        <v>25</v>
      </c>
      <c r="G332" t="s">
        <v>22</v>
      </c>
      <c r="H332">
        <v>-4255.72</v>
      </c>
      <c r="I332" t="str">
        <f t="shared" si="48"/>
        <v>Anchor Trust</v>
      </c>
      <c r="J332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333" spans="1:10" x14ac:dyDescent="0.35">
      <c r="A333" t="str">
        <f t="shared" si="42"/>
        <v>MAY</v>
      </c>
      <c r="B333" t="str">
        <f t="shared" si="45"/>
        <v>20</v>
      </c>
      <c r="C333" t="str">
        <f t="shared" si="46"/>
        <v>2020/21</v>
      </c>
      <c r="E333" t="str">
        <f t="shared" si="47"/>
        <v/>
      </c>
      <c r="F333" t="s">
        <v>25</v>
      </c>
      <c r="G333" t="s">
        <v>22</v>
      </c>
      <c r="H333">
        <v>-3552.68</v>
      </c>
      <c r="I333" t="str">
        <f t="shared" si="48"/>
        <v>Anchor Trust</v>
      </c>
      <c r="J333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334" spans="1:10" x14ac:dyDescent="0.35">
      <c r="A334" t="str">
        <f t="shared" si="42"/>
        <v>MAY</v>
      </c>
      <c r="B334" t="str">
        <f t="shared" si="45"/>
        <v>20</v>
      </c>
      <c r="C334" t="str">
        <f t="shared" si="46"/>
        <v>2020/21</v>
      </c>
      <c r="E334" t="str">
        <f t="shared" si="47"/>
        <v/>
      </c>
      <c r="F334" t="s">
        <v>25</v>
      </c>
      <c r="G334" t="s">
        <v>22</v>
      </c>
      <c r="H334">
        <v>42356.18</v>
      </c>
      <c r="I334" t="str">
        <f>"The Mayfield Trust"</f>
        <v>The Mayfield Trust</v>
      </c>
      <c r="J334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335" spans="1:10" x14ac:dyDescent="0.35">
      <c r="A335" t="str">
        <f t="shared" si="42"/>
        <v>MAY</v>
      </c>
      <c r="B335" t="str">
        <f t="shared" si="45"/>
        <v>20</v>
      </c>
      <c r="C335" t="str">
        <f t="shared" si="46"/>
        <v>2020/21</v>
      </c>
      <c r="E335" t="str">
        <f t="shared" si="47"/>
        <v/>
      </c>
      <c r="F335" t="s">
        <v>25</v>
      </c>
      <c r="G335" t="s">
        <v>22</v>
      </c>
      <c r="H335">
        <v>2554.12</v>
      </c>
      <c r="I335" t="str">
        <f>"Bridgewood Trust Ltd"</f>
        <v>Bridgewood Trust Ltd</v>
      </c>
      <c r="J335" t="str">
        <f t="shared" ref="J335:J340" si="49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336" spans="1:10" x14ac:dyDescent="0.35">
      <c r="A336" t="str">
        <f t="shared" si="42"/>
        <v>MAY</v>
      </c>
      <c r="B336" t="str">
        <f t="shared" si="45"/>
        <v>20</v>
      </c>
      <c r="C336" t="str">
        <f t="shared" si="46"/>
        <v>2020/21</v>
      </c>
      <c r="E336" t="str">
        <f t="shared" si="47"/>
        <v/>
      </c>
      <c r="F336" t="s">
        <v>25</v>
      </c>
      <c r="G336" t="s">
        <v>22</v>
      </c>
      <c r="H336">
        <v>13424.16</v>
      </c>
      <c r="I336" t="str">
        <f>"Bridgewood Trust Ltd"</f>
        <v>Bridgewood Trust Ltd</v>
      </c>
      <c r="J336" t="str">
        <f t="shared" si="49"/>
        <v>Residential Placements (Learning Disabilities)-Voluntary Home Voluntary Associations Agency And Contracted Services Residential &amp; Nursing Placem</v>
      </c>
    </row>
    <row r="337" spans="1:10" x14ac:dyDescent="0.35">
      <c r="A337" t="str">
        <f t="shared" si="42"/>
        <v>MAY</v>
      </c>
      <c r="B337" t="str">
        <f t="shared" si="45"/>
        <v>20</v>
      </c>
      <c r="C337" t="str">
        <f t="shared" si="46"/>
        <v>2020/21</v>
      </c>
      <c r="E337" t="str">
        <f t="shared" si="47"/>
        <v/>
      </c>
      <c r="F337" t="s">
        <v>25</v>
      </c>
      <c r="G337" t="s">
        <v>22</v>
      </c>
      <c r="H337">
        <v>1849.96</v>
      </c>
      <c r="I337" t="str">
        <f>"Bridgewood Trust Ltd"</f>
        <v>Bridgewood Trust Ltd</v>
      </c>
      <c r="J337" t="str">
        <f t="shared" si="49"/>
        <v>Residential Placements (Learning Disabilities)-Voluntary Home Voluntary Associations Agency And Contracted Services Residential &amp; Nursing Placem</v>
      </c>
    </row>
    <row r="338" spans="1:10" x14ac:dyDescent="0.35">
      <c r="A338" t="str">
        <f t="shared" si="42"/>
        <v>MAY</v>
      </c>
      <c r="B338" t="str">
        <f t="shared" si="45"/>
        <v>20</v>
      </c>
      <c r="C338" t="str">
        <f t="shared" si="46"/>
        <v>2020/21</v>
      </c>
      <c r="E338" t="str">
        <f t="shared" si="47"/>
        <v/>
      </c>
      <c r="F338" t="s">
        <v>25</v>
      </c>
      <c r="G338" t="s">
        <v>22</v>
      </c>
      <c r="H338">
        <v>2138.2399999999998</v>
      </c>
      <c r="I338" t="str">
        <f>"Bridgewood Trust Ltd"</f>
        <v>Bridgewood Trust Ltd</v>
      </c>
      <c r="J338" t="str">
        <f t="shared" si="49"/>
        <v>Residential Placements (Learning Disabilities)-Voluntary Home Voluntary Associations Agency And Contracted Services Residential &amp; Nursing Placem</v>
      </c>
    </row>
    <row r="339" spans="1:10" x14ac:dyDescent="0.35">
      <c r="A339" t="str">
        <f t="shared" ref="A339:A371" si="50">"MAY"</f>
        <v>MAY</v>
      </c>
      <c r="B339" t="str">
        <f t="shared" si="45"/>
        <v>20</v>
      </c>
      <c r="C339" t="str">
        <f t="shared" si="46"/>
        <v>2020/21</v>
      </c>
      <c r="E339" t="str">
        <f t="shared" si="47"/>
        <v/>
      </c>
      <c r="F339" t="s">
        <v>25</v>
      </c>
      <c r="G339" t="s">
        <v>22</v>
      </c>
      <c r="H339">
        <v>27764.48</v>
      </c>
      <c r="I339" t="str">
        <f>"Bridgewood Trust Ltd"</f>
        <v>Bridgewood Trust Ltd</v>
      </c>
      <c r="J339" t="str">
        <f t="shared" si="49"/>
        <v>Residential Placements (Learning Disabilities)-Voluntary Home Voluntary Associations Agency And Contracted Services Residential &amp; Nursing Placem</v>
      </c>
    </row>
    <row r="340" spans="1:10" x14ac:dyDescent="0.35">
      <c r="A340" t="str">
        <f t="shared" si="50"/>
        <v>MAY</v>
      </c>
      <c r="B340" t="str">
        <f t="shared" si="45"/>
        <v>20</v>
      </c>
      <c r="C340" t="str">
        <f t="shared" si="46"/>
        <v>2020/21</v>
      </c>
      <c r="E340" t="str">
        <f t="shared" si="47"/>
        <v/>
      </c>
      <c r="F340" t="s">
        <v>25</v>
      </c>
      <c r="G340" t="s">
        <v>22</v>
      </c>
      <c r="H340">
        <v>6882.04</v>
      </c>
      <c r="I340" t="str">
        <f>"The Mayfield Trust"</f>
        <v>The Mayfield Trust</v>
      </c>
      <c r="J340" t="str">
        <f t="shared" si="49"/>
        <v>Residential Placements (Learning Disabilities)-Voluntary Home Voluntary Associations Agency And Contracted Services Residential &amp; Nursing Placem</v>
      </c>
    </row>
    <row r="341" spans="1:10" x14ac:dyDescent="0.35">
      <c r="A341" t="str">
        <f t="shared" si="50"/>
        <v>MAY</v>
      </c>
      <c r="B341" t="str">
        <f t="shared" si="45"/>
        <v>20</v>
      </c>
      <c r="C341" t="str">
        <f t="shared" si="46"/>
        <v>2020/21</v>
      </c>
      <c r="D341" t="str">
        <f>"SS AD 113878"</f>
        <v>SS AD 113878</v>
      </c>
      <c r="E341" t="str">
        <f t="shared" si="47"/>
        <v>SS</v>
      </c>
      <c r="F341" t="s">
        <v>25</v>
      </c>
      <c r="G341" t="s">
        <v>22</v>
      </c>
      <c r="H341">
        <v>2685</v>
      </c>
      <c r="I341" t="str">
        <f t="shared" ref="I341:I346" si="51">"Bridgewood Trust Ltd"</f>
        <v>Bridgewood Trust Ltd</v>
      </c>
      <c r="J341" t="str">
        <f t="shared" ref="J341:J348" si="52">"COVID 19 Additional Care Home Payments Private Contractors Agency And Contracted Services Residential &amp; Nursing Placements (Learning Dis) Adult"</f>
        <v>COVID 19 Additional Care Home Payments Private Contractors Agency And Contracted Services Residential &amp; Nursing Placements (Learning Dis) Adult</v>
      </c>
    </row>
    <row r="342" spans="1:10" x14ac:dyDescent="0.35">
      <c r="A342" t="str">
        <f t="shared" si="50"/>
        <v>MAY</v>
      </c>
      <c r="B342" t="str">
        <f t="shared" si="45"/>
        <v>20</v>
      </c>
      <c r="C342" t="str">
        <f t="shared" si="46"/>
        <v>2020/21</v>
      </c>
      <c r="D342" t="str">
        <f>"SS AD 113844"</f>
        <v>SS AD 113844</v>
      </c>
      <c r="E342" t="str">
        <f t="shared" si="47"/>
        <v>SS</v>
      </c>
      <c r="F342" t="s">
        <v>25</v>
      </c>
      <c r="G342" t="s">
        <v>22</v>
      </c>
      <c r="H342">
        <v>428</v>
      </c>
      <c r="I342" t="str">
        <f t="shared" si="51"/>
        <v>Bridgewood Trust Ltd</v>
      </c>
      <c r="J342" t="str">
        <f t="shared" si="52"/>
        <v>COVID 19 Additional Care Home Payments Private Contractors Agency And Contracted Services Residential &amp; Nursing Placements (Learning Dis) Adult</v>
      </c>
    </row>
    <row r="343" spans="1:10" x14ac:dyDescent="0.35">
      <c r="A343" t="str">
        <f t="shared" si="50"/>
        <v>MAY</v>
      </c>
      <c r="B343" t="str">
        <f t="shared" si="45"/>
        <v>20</v>
      </c>
      <c r="C343" t="str">
        <f t="shared" si="46"/>
        <v>2020/21</v>
      </c>
      <c r="D343" t="str">
        <f>"SS AD 113877"</f>
        <v>SS AD 113877</v>
      </c>
      <c r="E343" t="str">
        <f t="shared" si="47"/>
        <v>SS</v>
      </c>
      <c r="F343" t="s">
        <v>25</v>
      </c>
      <c r="G343" t="s">
        <v>22</v>
      </c>
      <c r="H343">
        <v>5553</v>
      </c>
      <c r="I343" t="str">
        <f t="shared" si="51"/>
        <v>Bridgewood Trust Ltd</v>
      </c>
      <c r="J343" t="str">
        <f t="shared" si="52"/>
        <v>COVID 19 Additional Care Home Payments Private Contractors Agency And Contracted Services Residential &amp; Nursing Placements (Learning Dis) Adult</v>
      </c>
    </row>
    <row r="344" spans="1:10" x14ac:dyDescent="0.35">
      <c r="A344" t="str">
        <f t="shared" si="50"/>
        <v>MAY</v>
      </c>
      <c r="B344" t="str">
        <f t="shared" si="45"/>
        <v>20</v>
      </c>
      <c r="C344" t="str">
        <f t="shared" si="46"/>
        <v>2020/21</v>
      </c>
      <c r="D344" t="str">
        <f>"SS AD 114038"</f>
        <v>SS AD 114038</v>
      </c>
      <c r="E344" t="str">
        <f t="shared" si="47"/>
        <v>SS</v>
      </c>
      <c r="F344" t="s">
        <v>25</v>
      </c>
      <c r="G344" t="s">
        <v>22</v>
      </c>
      <c r="H344">
        <v>1342</v>
      </c>
      <c r="I344" t="str">
        <f t="shared" si="51"/>
        <v>Bridgewood Trust Ltd</v>
      </c>
      <c r="J344" t="str">
        <f t="shared" si="52"/>
        <v>COVID 19 Additional Care Home Payments Private Contractors Agency And Contracted Services Residential &amp; Nursing Placements (Learning Dis) Adult</v>
      </c>
    </row>
    <row r="345" spans="1:10" x14ac:dyDescent="0.35">
      <c r="A345" t="str">
        <f t="shared" si="50"/>
        <v>MAY</v>
      </c>
      <c r="B345" t="str">
        <f t="shared" si="45"/>
        <v>20</v>
      </c>
      <c r="C345" t="str">
        <f t="shared" si="46"/>
        <v>2020/21</v>
      </c>
      <c r="D345" t="str">
        <f>"SS AD 114037"</f>
        <v>SS AD 114037</v>
      </c>
      <c r="E345" t="str">
        <f t="shared" si="47"/>
        <v>SS</v>
      </c>
      <c r="F345" t="s">
        <v>25</v>
      </c>
      <c r="G345" t="s">
        <v>22</v>
      </c>
      <c r="H345">
        <v>2776</v>
      </c>
      <c r="I345" t="str">
        <f t="shared" si="51"/>
        <v>Bridgewood Trust Ltd</v>
      </c>
      <c r="J345" t="str">
        <f t="shared" si="52"/>
        <v>COVID 19 Additional Care Home Payments Private Contractors Agency And Contracted Services Residential &amp; Nursing Placements (Learning Dis) Adult</v>
      </c>
    </row>
    <row r="346" spans="1:10" x14ac:dyDescent="0.35">
      <c r="A346" t="str">
        <f t="shared" si="50"/>
        <v>MAY</v>
      </c>
      <c r="B346" t="str">
        <f t="shared" si="45"/>
        <v>20</v>
      </c>
      <c r="C346" t="str">
        <f t="shared" si="46"/>
        <v>2020/21</v>
      </c>
      <c r="D346" t="str">
        <f>"SS AD 114010"</f>
        <v>SS AD 114010</v>
      </c>
      <c r="E346" t="str">
        <f t="shared" si="47"/>
        <v>SS</v>
      </c>
      <c r="F346" t="s">
        <v>25</v>
      </c>
      <c r="G346" t="s">
        <v>22</v>
      </c>
      <c r="H346">
        <v>214</v>
      </c>
      <c r="I346" t="str">
        <f t="shared" si="51"/>
        <v>Bridgewood Trust Ltd</v>
      </c>
      <c r="J346" t="str">
        <f t="shared" si="52"/>
        <v>COVID 19 Additional Care Home Payments Private Contractors Agency And Contracted Services Residential &amp; Nursing Placements (Learning Dis) Adult</v>
      </c>
    </row>
    <row r="347" spans="1:10" x14ac:dyDescent="0.35">
      <c r="A347" t="str">
        <f t="shared" si="50"/>
        <v>MAY</v>
      </c>
      <c r="B347" t="str">
        <f t="shared" si="45"/>
        <v>20</v>
      </c>
      <c r="C347" t="str">
        <f t="shared" si="46"/>
        <v>2020/21</v>
      </c>
      <c r="D347" t="str">
        <f>"SS AD 113843"</f>
        <v>SS AD 113843</v>
      </c>
      <c r="E347" t="str">
        <f t="shared" si="47"/>
        <v>SS</v>
      </c>
      <c r="F347" t="s">
        <v>25</v>
      </c>
      <c r="G347" t="s">
        <v>22</v>
      </c>
      <c r="H347">
        <v>4322</v>
      </c>
      <c r="I347" t="str">
        <f>"The Mayfield Trust"</f>
        <v>The Mayfield Trust</v>
      </c>
      <c r="J347" t="str">
        <f t="shared" si="52"/>
        <v>COVID 19 Additional Care Home Payments Private Contractors Agency And Contracted Services Residential &amp; Nursing Placements (Learning Dis) Adult</v>
      </c>
    </row>
    <row r="348" spans="1:10" x14ac:dyDescent="0.35">
      <c r="A348" t="str">
        <f t="shared" si="50"/>
        <v>MAY</v>
      </c>
      <c r="B348" t="str">
        <f t="shared" si="45"/>
        <v>20</v>
      </c>
      <c r="C348" t="str">
        <f t="shared" si="46"/>
        <v>2020/21</v>
      </c>
      <c r="D348" t="str">
        <f>"SS AD 114009"</f>
        <v>SS AD 114009</v>
      </c>
      <c r="E348" t="str">
        <f t="shared" si="47"/>
        <v>SS</v>
      </c>
      <c r="F348" t="s">
        <v>25</v>
      </c>
      <c r="G348" t="s">
        <v>22</v>
      </c>
      <c r="H348">
        <v>2161</v>
      </c>
      <c r="I348" t="str">
        <f>"The Mayfield Trust"</f>
        <v>The Mayfield Trust</v>
      </c>
      <c r="J348" t="str">
        <f t="shared" si="52"/>
        <v>COVID 19 Additional Care Home Payments Private Contractors Agency And Contracted Services Residential &amp; Nursing Placements (Learning Dis) Adult</v>
      </c>
    </row>
    <row r="349" spans="1:10" x14ac:dyDescent="0.35">
      <c r="A349" t="str">
        <f t="shared" si="50"/>
        <v>MAY</v>
      </c>
      <c r="B349" t="str">
        <f t="shared" si="45"/>
        <v>20</v>
      </c>
      <c r="C349" t="str">
        <f t="shared" si="46"/>
        <v>2020/21</v>
      </c>
      <c r="E349" t="str">
        <f t="shared" si="47"/>
        <v/>
      </c>
      <c r="F349" t="s">
        <v>25</v>
      </c>
      <c r="G349" t="s">
        <v>22</v>
      </c>
      <c r="H349">
        <v>5517.16</v>
      </c>
      <c r="I349" t="str">
        <f>"Henshaws Society For Blind People re Red Admiral"</f>
        <v>Henshaws Society For Blind People re Red Admiral</v>
      </c>
      <c r="J349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350" spans="1:10" x14ac:dyDescent="0.35">
      <c r="A350" t="str">
        <f t="shared" si="50"/>
        <v>MAY</v>
      </c>
      <c r="B350" t="str">
        <f t="shared" si="45"/>
        <v>20</v>
      </c>
      <c r="C350" t="str">
        <f t="shared" si="46"/>
        <v>2020/21</v>
      </c>
      <c r="E350" t="str">
        <f t="shared" si="47"/>
        <v/>
      </c>
      <c r="F350" t="s">
        <v>25</v>
      </c>
      <c r="G350" t="s">
        <v>22</v>
      </c>
      <c r="H350">
        <v>-846</v>
      </c>
      <c r="I350" t="str">
        <f>"The Mayfield Trust"</f>
        <v>The Mayfield Trust</v>
      </c>
      <c r="J350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351" spans="1:10" x14ac:dyDescent="0.35">
      <c r="A351" t="str">
        <f t="shared" si="50"/>
        <v>MAY</v>
      </c>
      <c r="B351" t="str">
        <f t="shared" si="45"/>
        <v>20</v>
      </c>
      <c r="C351" t="str">
        <f t="shared" si="46"/>
        <v>2020/21</v>
      </c>
      <c r="E351" t="str">
        <f t="shared" si="47"/>
        <v/>
      </c>
      <c r="F351" t="s">
        <v>25</v>
      </c>
      <c r="G351" t="s">
        <v>22</v>
      </c>
      <c r="H351">
        <v>-423</v>
      </c>
      <c r="I351" t="str">
        <f>"Bridgewood Trust Ltd"</f>
        <v>Bridgewood Trust Ltd</v>
      </c>
      <c r="J351" t="str">
        <f t="shared" ref="J351:J357" si="53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352" spans="1:10" x14ac:dyDescent="0.35">
      <c r="A352" t="str">
        <f t="shared" si="50"/>
        <v>MAY</v>
      </c>
      <c r="B352" t="str">
        <f t="shared" si="45"/>
        <v>20</v>
      </c>
      <c r="C352" t="str">
        <f t="shared" si="46"/>
        <v>2020/21</v>
      </c>
      <c r="E352" t="str">
        <f t="shared" si="47"/>
        <v/>
      </c>
      <c r="F352" t="s">
        <v>25</v>
      </c>
      <c r="G352" t="s">
        <v>22</v>
      </c>
      <c r="H352">
        <v>-1692</v>
      </c>
      <c r="I352" t="str">
        <f>"Bridgewood Trust Ltd"</f>
        <v>Bridgewood Trust Ltd</v>
      </c>
      <c r="J352" t="str">
        <f t="shared" si="53"/>
        <v>Residential - Income Residential Placements Customer And Client Receipts Income Residential &amp; Nursing Placements (Learning Dis) Adult Health &amp; S</v>
      </c>
    </row>
    <row r="353" spans="1:10" x14ac:dyDescent="0.35">
      <c r="A353" t="str">
        <f t="shared" si="50"/>
        <v>MAY</v>
      </c>
      <c r="B353" t="str">
        <f t="shared" si="45"/>
        <v>20</v>
      </c>
      <c r="C353" t="str">
        <f t="shared" si="46"/>
        <v>2020/21</v>
      </c>
      <c r="E353" t="str">
        <f t="shared" si="47"/>
        <v/>
      </c>
      <c r="F353" t="s">
        <v>25</v>
      </c>
      <c r="G353" t="s">
        <v>22</v>
      </c>
      <c r="H353">
        <v>-595.4</v>
      </c>
      <c r="I353" t="str">
        <f>"Bridgewood Trust Ltd"</f>
        <v>Bridgewood Trust Ltd</v>
      </c>
      <c r="J353" t="str">
        <f t="shared" si="53"/>
        <v>Residential - Income Residential Placements Customer And Client Receipts Income Residential &amp; Nursing Placements (Learning Dis) Adult Health &amp; S</v>
      </c>
    </row>
    <row r="354" spans="1:10" x14ac:dyDescent="0.35">
      <c r="A354" t="str">
        <f t="shared" si="50"/>
        <v>MAY</v>
      </c>
      <c r="B354" t="str">
        <f t="shared" si="45"/>
        <v>20</v>
      </c>
      <c r="C354" t="str">
        <f t="shared" si="46"/>
        <v>2020/21</v>
      </c>
      <c r="E354" t="str">
        <f t="shared" si="47"/>
        <v/>
      </c>
      <c r="F354" t="s">
        <v>25</v>
      </c>
      <c r="G354" t="s">
        <v>22</v>
      </c>
      <c r="H354">
        <v>-423</v>
      </c>
      <c r="I354" t="str">
        <f>"Bridgewood Trust Ltd"</f>
        <v>Bridgewood Trust Ltd</v>
      </c>
      <c r="J354" t="str">
        <f t="shared" si="53"/>
        <v>Residential - Income Residential Placements Customer And Client Receipts Income Residential &amp; Nursing Placements (Learning Dis) Adult Health &amp; S</v>
      </c>
    </row>
    <row r="355" spans="1:10" x14ac:dyDescent="0.35">
      <c r="A355" t="str">
        <f t="shared" si="50"/>
        <v>MAY</v>
      </c>
      <c r="B355" t="str">
        <f t="shared" si="45"/>
        <v>20</v>
      </c>
      <c r="C355" t="str">
        <f t="shared" si="46"/>
        <v>2020/21</v>
      </c>
      <c r="E355" t="str">
        <f t="shared" si="47"/>
        <v/>
      </c>
      <c r="F355" t="s">
        <v>25</v>
      </c>
      <c r="G355" t="s">
        <v>22</v>
      </c>
      <c r="H355">
        <v>-4483.72</v>
      </c>
      <c r="I355" t="str">
        <f>"Bridgewood Trust Ltd"</f>
        <v>Bridgewood Trust Ltd</v>
      </c>
      <c r="J355" t="str">
        <f t="shared" si="53"/>
        <v>Residential - Income Residential Placements Customer And Client Receipts Income Residential &amp; Nursing Placements (Learning Dis) Adult Health &amp; S</v>
      </c>
    </row>
    <row r="356" spans="1:10" x14ac:dyDescent="0.35">
      <c r="A356" t="str">
        <f t="shared" si="50"/>
        <v>MAY</v>
      </c>
      <c r="B356" t="str">
        <f t="shared" si="45"/>
        <v>20</v>
      </c>
      <c r="C356" t="str">
        <f t="shared" si="46"/>
        <v>2020/21</v>
      </c>
      <c r="E356" t="str">
        <f t="shared" si="47"/>
        <v/>
      </c>
      <c r="F356" t="s">
        <v>25</v>
      </c>
      <c r="G356" t="s">
        <v>22</v>
      </c>
      <c r="H356">
        <v>-423</v>
      </c>
      <c r="I356" t="str">
        <f>"The Mayfield Trust"</f>
        <v>The Mayfield Trust</v>
      </c>
      <c r="J356" t="str">
        <f t="shared" si="53"/>
        <v>Residential - Income Residential Placements Customer And Client Receipts Income Residential &amp; Nursing Placements (Learning Dis) Adult Health &amp; S</v>
      </c>
    </row>
    <row r="357" spans="1:10" x14ac:dyDescent="0.35">
      <c r="A357" t="str">
        <f t="shared" si="50"/>
        <v>MAY</v>
      </c>
      <c r="B357" t="str">
        <f t="shared" si="45"/>
        <v>20</v>
      </c>
      <c r="C357" t="str">
        <f t="shared" si="46"/>
        <v>2020/21</v>
      </c>
      <c r="E357" t="str">
        <f t="shared" si="47"/>
        <v/>
      </c>
      <c r="F357" t="s">
        <v>25</v>
      </c>
      <c r="G357" t="s">
        <v>22</v>
      </c>
      <c r="H357">
        <v>-423</v>
      </c>
      <c r="I357" t="str">
        <f>"Henshaws Society For Blind People re Red Admiral"</f>
        <v>Henshaws Society For Blind People re Red Admiral</v>
      </c>
      <c r="J357" t="str">
        <f t="shared" si="53"/>
        <v>Residential - Income Residential Placements Customer And Client Receipts Income Residential &amp; Nursing Placements (Learning Dis) Adult Health &amp; S</v>
      </c>
    </row>
    <row r="358" spans="1:10" x14ac:dyDescent="0.35">
      <c r="A358" t="str">
        <f t="shared" si="50"/>
        <v>MAY</v>
      </c>
      <c r="B358" t="str">
        <f t="shared" si="45"/>
        <v>20</v>
      </c>
      <c r="C358" t="str">
        <f t="shared" si="46"/>
        <v>2020/21</v>
      </c>
      <c r="D358" t="str">
        <f>"SS CO 113260"</f>
        <v>SS CO 113260</v>
      </c>
      <c r="E358" t="str">
        <f t="shared" si="47"/>
        <v>SS</v>
      </c>
      <c r="F358" t="s">
        <v>25</v>
      </c>
      <c r="G358" t="s">
        <v>22</v>
      </c>
      <c r="H358">
        <v>15922.58</v>
      </c>
      <c r="I358" t="str">
        <f>"Alzheimers Society"</f>
        <v>Alzheimers Society</v>
      </c>
      <c r="J358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359" spans="1:10" x14ac:dyDescent="0.35">
      <c r="A359" t="str">
        <f t="shared" si="50"/>
        <v>MAY</v>
      </c>
      <c r="B359" t="str">
        <f t="shared" si="45"/>
        <v>20</v>
      </c>
      <c r="C359" t="str">
        <f t="shared" si="46"/>
        <v>2020/21</v>
      </c>
      <c r="D359" t="str">
        <f>"SS CO 113260"</f>
        <v>SS CO 113260</v>
      </c>
      <c r="E359" t="str">
        <f t="shared" si="47"/>
        <v>SS</v>
      </c>
      <c r="F359" t="s">
        <v>25</v>
      </c>
      <c r="G359" t="s">
        <v>22</v>
      </c>
      <c r="H359">
        <v>15922.58</v>
      </c>
      <c r="I359" t="str">
        <f>"Alzheimers Society"</f>
        <v>Alzheimers Society</v>
      </c>
      <c r="J359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360" spans="1:10" x14ac:dyDescent="0.35">
      <c r="A360" t="str">
        <f t="shared" si="50"/>
        <v>MAY</v>
      </c>
      <c r="B360" t="str">
        <f t="shared" si="45"/>
        <v>20</v>
      </c>
      <c r="C360" t="str">
        <f t="shared" si="46"/>
        <v>2020/21</v>
      </c>
      <c r="D360" t="str">
        <f>"SS CO 113850"</f>
        <v>SS CO 113850</v>
      </c>
      <c r="E360" t="str">
        <f t="shared" si="47"/>
        <v>SS</v>
      </c>
      <c r="F360" t="s">
        <v>25</v>
      </c>
      <c r="G360" t="s">
        <v>22</v>
      </c>
      <c r="H360">
        <v>18016.669999999998</v>
      </c>
      <c r="I360" t="str">
        <f>"Cloverleaf Advocacy 2000 Ltd"</f>
        <v>Cloverleaf Advocacy 2000 Ltd</v>
      </c>
      <c r="J360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361" spans="1:10" x14ac:dyDescent="0.35">
      <c r="A361" t="str">
        <f t="shared" si="50"/>
        <v>MAY</v>
      </c>
      <c r="B361" t="str">
        <f t="shared" si="45"/>
        <v>20</v>
      </c>
      <c r="C361" t="str">
        <f t="shared" si="46"/>
        <v>2020/21</v>
      </c>
      <c r="D361" t="str">
        <f>"SS CO 113363"</f>
        <v>SS CO 113363</v>
      </c>
      <c r="E361" t="str">
        <f t="shared" si="47"/>
        <v>SS</v>
      </c>
      <c r="F361" t="s">
        <v>25</v>
      </c>
      <c r="G361" t="s">
        <v>22</v>
      </c>
      <c r="H361">
        <v>12925.85</v>
      </c>
      <c r="I361" t="str">
        <f>"Age Uk Calderdale &amp; Kirklees"</f>
        <v>Age Uk Calderdale &amp; Kirklees</v>
      </c>
      <c r="J361" t="str">
        <f>"Age Concern Core Grant Transfer Payments - School Children And Students Transfer Payments Older People Commissioning Budget Adult Health &amp; Socia"</f>
        <v>Age Concern Core Grant Transfer Payments - School Children And Students Transfer Payments Older People Commissioning Budget Adult Health &amp; Socia</v>
      </c>
    </row>
    <row r="362" spans="1:10" x14ac:dyDescent="0.35">
      <c r="A362" t="str">
        <f t="shared" si="50"/>
        <v>MAY</v>
      </c>
      <c r="B362" t="str">
        <f t="shared" si="45"/>
        <v>20</v>
      </c>
      <c r="C362" t="str">
        <f t="shared" si="46"/>
        <v>2020/21</v>
      </c>
      <c r="D362" t="str">
        <f>"SS CO 113363"</f>
        <v>SS CO 113363</v>
      </c>
      <c r="E362" t="str">
        <f t="shared" si="47"/>
        <v>SS</v>
      </c>
      <c r="F362" t="s">
        <v>25</v>
      </c>
      <c r="G362" t="s">
        <v>22</v>
      </c>
      <c r="H362">
        <v>3244.85</v>
      </c>
      <c r="I362" t="str">
        <f>"Age Uk Calderdale &amp; Kirklees"</f>
        <v>Age Uk Calderdale &amp; Kirklees</v>
      </c>
      <c r="J362" t="str">
        <f>"Active Befriending Scheme Transfer Payments - School Children And Students Transfer Payments Older People Commissioning Budget Adult Health &amp; So"</f>
        <v>Active Befriending Scheme Transfer Payments - School Children And Students Transfer Payments Older People Commissioning Budget Adult Health &amp; So</v>
      </c>
    </row>
    <row r="363" spans="1:10" x14ac:dyDescent="0.35">
      <c r="A363" t="str">
        <f t="shared" si="50"/>
        <v>MAY</v>
      </c>
      <c r="B363" t="str">
        <f t="shared" si="45"/>
        <v>20</v>
      </c>
      <c r="C363" t="str">
        <f t="shared" si="46"/>
        <v>2020/21</v>
      </c>
      <c r="D363" t="str">
        <f>"SS CO 113363"</f>
        <v>SS CO 113363</v>
      </c>
      <c r="E363" t="str">
        <f t="shared" si="47"/>
        <v>SS</v>
      </c>
      <c r="F363" t="s">
        <v>25</v>
      </c>
      <c r="G363" t="s">
        <v>22</v>
      </c>
      <c r="H363">
        <v>3244.85</v>
      </c>
      <c r="I363" t="str">
        <f>"Age Uk Calderdale &amp; Kirklees"</f>
        <v>Age Uk Calderdale &amp; Kirklees</v>
      </c>
      <c r="J363" t="str">
        <f>"Active Befriending Scheme Transfer Payments - School Children And Students Transfer Payments Older People Commissioning Budget Adult Health &amp; So"</f>
        <v>Active Befriending Scheme Transfer Payments - School Children And Students Transfer Payments Older People Commissioning Budget Adult Health &amp; So</v>
      </c>
    </row>
    <row r="364" spans="1:10" x14ac:dyDescent="0.35">
      <c r="A364" t="str">
        <f t="shared" si="50"/>
        <v>MAY</v>
      </c>
      <c r="B364" t="str">
        <f t="shared" si="45"/>
        <v>20</v>
      </c>
      <c r="C364" t="str">
        <f t="shared" si="46"/>
        <v>2020/21</v>
      </c>
      <c r="D364" t="str">
        <f>"SS CO 113363"</f>
        <v>SS CO 113363</v>
      </c>
      <c r="E364" t="str">
        <f t="shared" si="47"/>
        <v>SS</v>
      </c>
      <c r="F364" t="s">
        <v>25</v>
      </c>
      <c r="G364" t="s">
        <v>22</v>
      </c>
      <c r="H364">
        <v>6250</v>
      </c>
      <c r="I364" t="str">
        <f>"Age Uk Calderdale &amp; Kirklees"</f>
        <v>Age Uk Calderdale &amp; Kirklees</v>
      </c>
      <c r="J364" t="str">
        <f>"Shop Mobility grant Transfer Payments - Social Services Clients Transfer Payments Older People Commissioning Budget Adult Health &amp; Social Care"</f>
        <v>Shop Mobility grant Transfer Payments - Social Services Clients Transfer Payments Older People Commissioning Budget Adult Health &amp; Social Care</v>
      </c>
    </row>
    <row r="365" spans="1:10" x14ac:dyDescent="0.35">
      <c r="A365" t="str">
        <f t="shared" si="50"/>
        <v>MAY</v>
      </c>
      <c r="B365" t="str">
        <f t="shared" si="45"/>
        <v>20</v>
      </c>
      <c r="C365" t="str">
        <f t="shared" si="46"/>
        <v>2020/21</v>
      </c>
      <c r="D365" t="str">
        <f>"SS FD 114113"</f>
        <v>SS FD 114113</v>
      </c>
      <c r="E365" t="str">
        <f t="shared" si="47"/>
        <v>SS</v>
      </c>
      <c r="F365" t="s">
        <v>25</v>
      </c>
      <c r="G365" t="s">
        <v>22</v>
      </c>
      <c r="H365">
        <v>159.9</v>
      </c>
      <c r="I365" t="str">
        <f>"Age Uk Calderdale &amp; Kirklees"</f>
        <v>Age Uk Calderdale &amp; Kirklees</v>
      </c>
      <c r="J365" t="s">
        <v>8</v>
      </c>
    </row>
    <row r="366" spans="1:10" x14ac:dyDescent="0.35">
      <c r="A366" t="str">
        <f t="shared" si="50"/>
        <v>MAY</v>
      </c>
      <c r="B366" t="str">
        <f t="shared" si="45"/>
        <v>20</v>
      </c>
      <c r="C366" t="str">
        <f t="shared" si="46"/>
        <v>2020/21</v>
      </c>
      <c r="D366" t="str">
        <f>"SS PD 110871"</f>
        <v>SS PD 110871</v>
      </c>
      <c r="E366" t="str">
        <f t="shared" si="47"/>
        <v>SS</v>
      </c>
      <c r="F366" t="s">
        <v>25</v>
      </c>
      <c r="G366" t="s">
        <v>22</v>
      </c>
      <c r="H366">
        <v>567.45000000000005</v>
      </c>
      <c r="I366" t="str">
        <f>"Pennine Magpie"</f>
        <v>Pennine Magpie</v>
      </c>
      <c r="J366" t="str">
        <f>"Phys Dis Day Services Private Contractors Agency And Contracted Services PD Outreach / Home Care / Day Services Adult Health &amp; Social Care"</f>
        <v>Phys Dis Day Services Private Contractors Agency And Contracted Services PD Outreach / Home Care / Day Services Adult Health &amp; Social Care</v>
      </c>
    </row>
    <row r="367" spans="1:10" x14ac:dyDescent="0.35">
      <c r="A367" t="str">
        <f t="shared" si="50"/>
        <v>MAY</v>
      </c>
      <c r="B367" t="str">
        <f t="shared" si="45"/>
        <v>20</v>
      </c>
      <c r="C367" t="str">
        <f t="shared" si="46"/>
        <v>2020/21</v>
      </c>
      <c r="D367" t="str">
        <f>"SS CO 113367"</f>
        <v>SS CO 113367</v>
      </c>
      <c r="E367" t="str">
        <f t="shared" si="47"/>
        <v>SS</v>
      </c>
      <c r="F367" t="s">
        <v>25</v>
      </c>
      <c r="G367" t="s">
        <v>22</v>
      </c>
      <c r="H367">
        <v>5708.2</v>
      </c>
      <c r="I367" t="str">
        <f>"Cloverleaf Advocacy 2000 Ltd"</f>
        <v>Cloverleaf Advocacy 2000 Ltd</v>
      </c>
      <c r="J367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368" spans="1:10" x14ac:dyDescent="0.35">
      <c r="A368" t="str">
        <f t="shared" si="50"/>
        <v>MAY</v>
      </c>
      <c r="B368" t="str">
        <f t="shared" si="45"/>
        <v>20</v>
      </c>
      <c r="C368" t="str">
        <f t="shared" si="46"/>
        <v>2020/21</v>
      </c>
      <c r="D368" t="str">
        <f>"SS CO 112751"</f>
        <v>SS CO 112751</v>
      </c>
      <c r="E368" t="str">
        <f t="shared" si="47"/>
        <v>SS</v>
      </c>
      <c r="F368" t="s">
        <v>25</v>
      </c>
      <c r="G368" t="s">
        <v>22</v>
      </c>
      <c r="H368">
        <v>105</v>
      </c>
      <c r="I368" t="str">
        <f>"Advocacy Focus"</f>
        <v>Advocacy Focus</v>
      </c>
      <c r="J368" t="str">
        <f>"Advocacy for Adults Voluntary Associations Agency And Contracted Services Mental Health Commissioning Budget Adult Health &amp; Social Care"</f>
        <v>Advocacy for Adults Voluntary Associations Agency And Contracted Services Mental Health Commissioning Budget Adult Health &amp; Social Care</v>
      </c>
    </row>
    <row r="369" spans="1:10" x14ac:dyDescent="0.35">
      <c r="A369" t="str">
        <f t="shared" si="50"/>
        <v>MAY</v>
      </c>
      <c r="B369" t="str">
        <f t="shared" si="45"/>
        <v>20</v>
      </c>
      <c r="C369" t="str">
        <f t="shared" si="46"/>
        <v>2020/21</v>
      </c>
      <c r="D369" t="str">
        <f>"SS CO 108962"</f>
        <v>SS CO 108962</v>
      </c>
      <c r="E369" t="str">
        <f t="shared" si="47"/>
        <v>SS</v>
      </c>
      <c r="F369" t="s">
        <v>25</v>
      </c>
      <c r="G369" t="s">
        <v>22</v>
      </c>
      <c r="H369">
        <v>7235.83</v>
      </c>
      <c r="I369" t="str">
        <f>"The Stroke Association"</f>
        <v>The Stroke Association</v>
      </c>
      <c r="J369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370" spans="1:10" x14ac:dyDescent="0.35">
      <c r="A370" t="str">
        <f t="shared" si="50"/>
        <v>MAY</v>
      </c>
      <c r="B370" t="str">
        <f t="shared" si="45"/>
        <v>20</v>
      </c>
      <c r="C370" t="str">
        <f t="shared" si="46"/>
        <v>2020/21</v>
      </c>
      <c r="D370" t="str">
        <f>"SS CO 112761"</f>
        <v>SS CO 112761</v>
      </c>
      <c r="E370" t="str">
        <f t="shared" si="47"/>
        <v>SS</v>
      </c>
      <c r="F370" t="s">
        <v>25</v>
      </c>
      <c r="G370" t="s">
        <v>22</v>
      </c>
      <c r="H370">
        <v>7402.25</v>
      </c>
      <c r="I370" t="str">
        <f>"The Stroke Association"</f>
        <v>The Stroke Association</v>
      </c>
      <c r="J370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371" spans="1:10" x14ac:dyDescent="0.35">
      <c r="A371" t="str">
        <f t="shared" si="50"/>
        <v>MAY</v>
      </c>
      <c r="B371" t="str">
        <f t="shared" si="45"/>
        <v>20</v>
      </c>
      <c r="C371" t="str">
        <f t="shared" si="46"/>
        <v>2020/21</v>
      </c>
      <c r="D371" t="str">
        <f>"SS CO 112761"</f>
        <v>SS CO 112761</v>
      </c>
      <c r="E371" t="str">
        <f t="shared" si="47"/>
        <v>SS</v>
      </c>
      <c r="F371" t="s">
        <v>25</v>
      </c>
      <c r="G371" t="s">
        <v>22</v>
      </c>
      <c r="H371">
        <v>7402.25</v>
      </c>
      <c r="I371" t="str">
        <f>"The Stroke Association"</f>
        <v>The Stroke Association</v>
      </c>
      <c r="J371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372" spans="1:10" x14ac:dyDescent="0.35">
      <c r="A372" t="str">
        <f t="shared" ref="A372:A403" si="54">"JUN"</f>
        <v>JUN</v>
      </c>
      <c r="B372" t="str">
        <f t="shared" si="45"/>
        <v>20</v>
      </c>
      <c r="C372" t="str">
        <f t="shared" si="46"/>
        <v>2020/21</v>
      </c>
      <c r="D372" t="str">
        <f>"LS MU 205346"</f>
        <v>LS MU 205346</v>
      </c>
      <c r="E372" t="str">
        <f t="shared" si="47"/>
        <v>LS</v>
      </c>
      <c r="F372" t="s">
        <v>37</v>
      </c>
      <c r="G372" t="s">
        <v>14</v>
      </c>
      <c r="H372">
        <v>5130.29</v>
      </c>
      <c r="I372" t="str">
        <f>"The Piece Hall Trust"</f>
        <v>The Piece Hall Trust</v>
      </c>
      <c r="J372" t="str">
        <f>"Miscellaneous Activity Costs - Heritage &amp; Learning Assistant Piece Hall Transformation Project - Delivery Phase Service Development - Client Ser"</f>
        <v>Miscellaneous Activity Costs - Heritage &amp; Learning Assistant Piece Hall Transformation Project - Delivery Phase Service Development - Client Ser</v>
      </c>
    </row>
    <row r="373" spans="1:10" x14ac:dyDescent="0.35">
      <c r="A373" t="str">
        <f t="shared" si="54"/>
        <v>JUN</v>
      </c>
      <c r="B373" t="str">
        <f t="shared" si="45"/>
        <v>20</v>
      </c>
      <c r="C373" t="str">
        <f t="shared" si="46"/>
        <v>2020/21</v>
      </c>
      <c r="D373" t="str">
        <f>"LS MU 205346"</f>
        <v>LS MU 205346</v>
      </c>
      <c r="E373" t="str">
        <f t="shared" si="47"/>
        <v>LS</v>
      </c>
      <c r="F373" t="s">
        <v>37</v>
      </c>
      <c r="G373" t="s">
        <v>14</v>
      </c>
      <c r="H373">
        <v>2333.33</v>
      </c>
      <c r="I373" t="str">
        <f>"The Piece Hall Trust"</f>
        <v>The Piece Hall Trust</v>
      </c>
      <c r="J373" t="str">
        <f>"Miscellaneous Activity Costs - Evaluation Piece Hall Transformation Project - Delivery Phase Service Development - Client Services"</f>
        <v>Miscellaneous Activity Costs - Evaluation Piece Hall Transformation Project - Delivery Phase Service Development - Client Services</v>
      </c>
    </row>
    <row r="374" spans="1:10" x14ac:dyDescent="0.35">
      <c r="A374" t="str">
        <f t="shared" si="54"/>
        <v>JUN</v>
      </c>
      <c r="B374" t="str">
        <f t="shared" si="45"/>
        <v>20</v>
      </c>
      <c r="C374" t="str">
        <f t="shared" si="46"/>
        <v>2020/21</v>
      </c>
      <c r="D374" t="str">
        <f>"LS NE 205345"</f>
        <v>LS NE 205345</v>
      </c>
      <c r="E374" t="str">
        <f t="shared" si="47"/>
        <v>LS</v>
      </c>
      <c r="F374" t="s">
        <v>13</v>
      </c>
      <c r="G374" t="s">
        <v>14</v>
      </c>
      <c r="H374">
        <v>500</v>
      </c>
      <c r="I374" t="str">
        <f>"Friends of Sowerby Bridge Railway Station"</f>
        <v>Friends of Sowerby Bridge Railway Station</v>
      </c>
      <c r="J374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375" spans="1:10" x14ac:dyDescent="0.35">
      <c r="A375" t="str">
        <f t="shared" si="54"/>
        <v>JUN</v>
      </c>
      <c r="B375" t="str">
        <f t="shared" si="45"/>
        <v>20</v>
      </c>
      <c r="C375" t="str">
        <f t="shared" si="46"/>
        <v>2020/21</v>
      </c>
      <c r="D375" t="str">
        <f>"LS NE 205422"</f>
        <v>LS NE 205422</v>
      </c>
      <c r="E375" t="str">
        <f t="shared" si="47"/>
        <v>LS</v>
      </c>
      <c r="F375" t="s">
        <v>13</v>
      </c>
      <c r="G375" t="s">
        <v>14</v>
      </c>
      <c r="H375">
        <v>20000</v>
      </c>
      <c r="I375" t="str">
        <f>"North Halifax Partnership Ltd"</f>
        <v>North Halifax Partnership Ltd</v>
      </c>
      <c r="J375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376" spans="1:10" x14ac:dyDescent="0.35">
      <c r="A376" t="str">
        <f t="shared" si="54"/>
        <v>JUN</v>
      </c>
      <c r="B376" t="str">
        <f t="shared" si="45"/>
        <v>20</v>
      </c>
      <c r="C376" t="str">
        <f t="shared" si="46"/>
        <v>2020/21</v>
      </c>
      <c r="D376" t="str">
        <f>"LS NE 205459"</f>
        <v>LS NE 205459</v>
      </c>
      <c r="E376" t="str">
        <f t="shared" si="47"/>
        <v>LS</v>
      </c>
      <c r="F376" t="s">
        <v>13</v>
      </c>
      <c r="G376" t="s">
        <v>14</v>
      </c>
      <c r="H376">
        <v>500</v>
      </c>
      <c r="I376" t="str">
        <f>"Spring Hall Bowling Club"</f>
        <v>Spring Hall Bowling Club</v>
      </c>
      <c r="J376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377" spans="1:10" x14ac:dyDescent="0.35">
      <c r="A377" t="str">
        <f t="shared" si="54"/>
        <v>JUN</v>
      </c>
      <c r="B377" t="str">
        <f t="shared" si="45"/>
        <v>20</v>
      </c>
      <c r="C377" t="str">
        <f t="shared" si="46"/>
        <v>2020/21</v>
      </c>
      <c r="D377" t="str">
        <f>"LA RR 024087"</f>
        <v>LA RR 024087</v>
      </c>
      <c r="E377" t="str">
        <f t="shared" si="47"/>
        <v>LA</v>
      </c>
      <c r="F377" t="s">
        <v>38</v>
      </c>
      <c r="G377" t="s">
        <v>14</v>
      </c>
      <c r="H377">
        <v>2</v>
      </c>
      <c r="I377" t="str">
        <f>"Halifax Minster"</f>
        <v>Halifax Minster</v>
      </c>
      <c r="J377" t="str">
        <f>"Marriage Qtrly Copy Fees Equipment Furniture And Materials (Cont) Supplies And Services Regn of BDM (prev on 8011) Customer Services and Communi"</f>
        <v>Marriage Qtrly Copy Fees Equipment Furniture And Materials (Cont) Supplies And Services Regn of BDM (prev on 8011) Customer Services and Communi</v>
      </c>
    </row>
    <row r="378" spans="1:10" x14ac:dyDescent="0.35">
      <c r="A378" t="str">
        <f t="shared" si="54"/>
        <v>JUN</v>
      </c>
      <c r="B378" t="str">
        <f t="shared" si="45"/>
        <v>20</v>
      </c>
      <c r="C378" t="str">
        <f t="shared" si="46"/>
        <v>2020/21</v>
      </c>
      <c r="D378" t="str">
        <f>"FI BE 021152"</f>
        <v>FI BE 021152</v>
      </c>
      <c r="E378" t="str">
        <f t="shared" si="47"/>
        <v>FI</v>
      </c>
      <c r="F378" t="s">
        <v>38</v>
      </c>
      <c r="G378" t="s">
        <v>14</v>
      </c>
      <c r="H378">
        <v>157.5</v>
      </c>
      <c r="I378" t="str">
        <f>"Calder Valley Transport"</f>
        <v>Calder Valley Transport</v>
      </c>
      <c r="J378" t="str">
        <f>"Rent Allow - Manual Cheques Transfer Payments - Housing Benefits Transfer Payments Benefits Customer Services and Communications"</f>
        <v>Rent Allow - Manual Cheques Transfer Payments - Housing Benefits Transfer Payments Benefits Customer Services and Communications</v>
      </c>
    </row>
    <row r="379" spans="1:10" x14ac:dyDescent="0.35">
      <c r="A379" t="str">
        <f t="shared" si="54"/>
        <v>JUN</v>
      </c>
      <c r="B379" t="str">
        <f t="shared" si="45"/>
        <v>20</v>
      </c>
      <c r="C379" t="str">
        <f t="shared" si="46"/>
        <v>2020/21</v>
      </c>
      <c r="D379" t="str">
        <f>"FI BE 021194"</f>
        <v>FI BE 021194</v>
      </c>
      <c r="E379" t="str">
        <f t="shared" si="47"/>
        <v>FI</v>
      </c>
      <c r="F379" t="s">
        <v>38</v>
      </c>
      <c r="G379" t="s">
        <v>14</v>
      </c>
      <c r="H379">
        <v>180</v>
      </c>
      <c r="I379" t="str">
        <f>"Calder Valley Transport"</f>
        <v>Calder Valley Transport</v>
      </c>
      <c r="J379" t="str">
        <f>"Rent Allow - Manual Cheques Transfer Payments - Housing Benefits Transfer Payments Benefits Customer Services and Communications"</f>
        <v>Rent Allow - Manual Cheques Transfer Payments - Housing Benefits Transfer Payments Benefits Customer Services and Communications</v>
      </c>
    </row>
    <row r="380" spans="1:10" x14ac:dyDescent="0.35">
      <c r="A380" t="str">
        <f t="shared" si="54"/>
        <v>JUN</v>
      </c>
      <c r="B380" t="str">
        <f t="shared" si="45"/>
        <v>20</v>
      </c>
      <c r="C380" t="str">
        <f t="shared" si="46"/>
        <v>2020/21</v>
      </c>
      <c r="D380" t="str">
        <f>"LS GV 205394"</f>
        <v>LS GV 205394</v>
      </c>
      <c r="E380" t="str">
        <f t="shared" si="47"/>
        <v>LS</v>
      </c>
      <c r="F380" t="s">
        <v>17</v>
      </c>
      <c r="G380" t="s">
        <v>18</v>
      </c>
      <c r="H380">
        <v>6069.5</v>
      </c>
      <c r="I380" t="str">
        <f>"Disability Advice Resource Team (DART)"</f>
        <v>Disability Advice Resource Team (DART)</v>
      </c>
      <c r="J380" t="str">
        <f>"A&amp;I Grant - D.A.R.T Grants And Subscriptions Supplies And Services Policy and Voluntary Sector Economy and Investment"</f>
        <v>A&amp;I Grant - D.A.R.T Grants And Subscriptions Supplies And Services Policy and Voluntary Sector Economy and Investment</v>
      </c>
    </row>
    <row r="381" spans="1:10" x14ac:dyDescent="0.35">
      <c r="A381" t="str">
        <f t="shared" si="54"/>
        <v>JUN</v>
      </c>
      <c r="B381" t="str">
        <f t="shared" si="45"/>
        <v>20</v>
      </c>
      <c r="C381" t="str">
        <f t="shared" si="46"/>
        <v>2020/21</v>
      </c>
      <c r="D381" t="str">
        <f>"LS GV 205018"</f>
        <v>LS GV 205018</v>
      </c>
      <c r="E381" t="str">
        <f t="shared" si="47"/>
        <v>LS</v>
      </c>
      <c r="F381" t="s">
        <v>17</v>
      </c>
      <c r="G381" t="s">
        <v>18</v>
      </c>
      <c r="H381">
        <v>33125</v>
      </c>
      <c r="I381" t="str">
        <f>"Healthwatch Kirklees"</f>
        <v>Healthwatch Kirklees</v>
      </c>
      <c r="J381" t="str">
        <f>"LHW - Local Healthwatch / ICAS Delivery Grants Grants And Subscriptions Supplies And Services Policy and Voluntary Sector Economy and Investment"</f>
        <v>LHW - Local Healthwatch / ICAS Delivery Grants Grants And Subscriptions Supplies And Services Policy and Voluntary Sector Economy and Investment</v>
      </c>
    </row>
    <row r="382" spans="1:10" x14ac:dyDescent="0.35">
      <c r="A382" t="str">
        <f t="shared" si="54"/>
        <v>JUN</v>
      </c>
      <c r="B382" t="str">
        <f t="shared" si="45"/>
        <v>20</v>
      </c>
      <c r="C382" t="str">
        <f t="shared" si="46"/>
        <v>2020/21</v>
      </c>
      <c r="D382" t="str">
        <f>"SC CK 213528"</f>
        <v>SC CK 213528</v>
      </c>
      <c r="E382" t="str">
        <f t="shared" si="47"/>
        <v>SC</v>
      </c>
      <c r="F382" t="s">
        <v>21</v>
      </c>
      <c r="G382" t="s">
        <v>22</v>
      </c>
      <c r="H382">
        <v>15000</v>
      </c>
      <c r="I382" t="str">
        <f>"Barnardo's"</f>
        <v>Barnardo's</v>
      </c>
      <c r="J382" t="str">
        <f>"Workforce development Private Contractors Agency And Contracted Services Transformation Plan - grant funding Integrated commissioning - children"</f>
        <v>Workforce development Private Contractors Agency And Contracted Services Transformation Plan - grant funding Integrated commissioning - children</v>
      </c>
    </row>
    <row r="383" spans="1:10" x14ac:dyDescent="0.35">
      <c r="A383" t="str">
        <f t="shared" si="54"/>
        <v>JUN</v>
      </c>
      <c r="B383" t="str">
        <f t="shared" si="45"/>
        <v>20</v>
      </c>
      <c r="C383" t="str">
        <f t="shared" si="46"/>
        <v>2020/21</v>
      </c>
      <c r="D383" t="str">
        <f>"SC CK 216111"</f>
        <v>SC CK 216111</v>
      </c>
      <c r="E383" t="str">
        <f t="shared" si="47"/>
        <v>SC</v>
      </c>
      <c r="F383" t="s">
        <v>21</v>
      </c>
      <c r="G383" t="s">
        <v>22</v>
      </c>
      <c r="H383">
        <v>37500</v>
      </c>
      <c r="I383" t="str">
        <f>"Healthy Minds Calderdale Wellbeing"</f>
        <v>Healthy Minds Calderdale Wellbeing</v>
      </c>
      <c r="J383" t="str">
        <f>"Tough Times College Private Contractors Agency And Contracted Services Transformation Plan - grant funding Integrated commissioning - children's"</f>
        <v>Tough Times College Private Contractors Agency And Contracted Services Transformation Plan - grant funding Integrated commissioning - children's</v>
      </c>
    </row>
    <row r="384" spans="1:10" x14ac:dyDescent="0.35">
      <c r="A384" t="str">
        <f t="shared" si="54"/>
        <v>JUN</v>
      </c>
      <c r="B384" t="str">
        <f t="shared" si="45"/>
        <v>20</v>
      </c>
      <c r="C384" t="str">
        <f t="shared" si="46"/>
        <v>2020/21</v>
      </c>
      <c r="D384" t="str">
        <f>"SC CK 215400"</f>
        <v>SC CK 215400</v>
      </c>
      <c r="E384" t="str">
        <f t="shared" si="47"/>
        <v>SC</v>
      </c>
      <c r="F384" t="s">
        <v>21</v>
      </c>
      <c r="G384" t="s">
        <v>22</v>
      </c>
      <c r="H384">
        <v>152481.74</v>
      </c>
      <c r="I384" t="str">
        <f>"North Halifax Partnership Ltd"</f>
        <v>North Halifax Partnership Ltd</v>
      </c>
      <c r="J384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385" spans="1:10" x14ac:dyDescent="0.35">
      <c r="A385" t="str">
        <f t="shared" si="54"/>
        <v>JUN</v>
      </c>
      <c r="B385" t="str">
        <f t="shared" si="45"/>
        <v>20</v>
      </c>
      <c r="C385" t="str">
        <f t="shared" si="46"/>
        <v>2020/21</v>
      </c>
      <c r="D385" t="str">
        <f>"SC CK 215400"</f>
        <v>SC CK 215400</v>
      </c>
      <c r="E385" t="str">
        <f t="shared" si="47"/>
        <v>SC</v>
      </c>
      <c r="F385" t="s">
        <v>21</v>
      </c>
      <c r="G385" t="s">
        <v>22</v>
      </c>
      <c r="H385">
        <v>152481.74</v>
      </c>
      <c r="I385" t="str">
        <f>"North Halifax Partnership Ltd"</f>
        <v>North Halifax Partnership Ltd</v>
      </c>
      <c r="J385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386" spans="1:10" x14ac:dyDescent="0.35">
      <c r="A386" t="str">
        <f t="shared" si="54"/>
        <v>JUN</v>
      </c>
      <c r="B386" t="str">
        <f t="shared" ref="B386:B449" si="55">"20"</f>
        <v>20</v>
      </c>
      <c r="C386" t="str">
        <f t="shared" ref="C386:C449" si="56">"2020/21"</f>
        <v>2020/21</v>
      </c>
      <c r="D386" t="str">
        <f>"SC CK 215517"</f>
        <v>SC CK 215517</v>
      </c>
      <c r="E386" t="str">
        <f t="shared" ref="E386:E449" si="57">LEFT(D386,2)</f>
        <v>SC</v>
      </c>
      <c r="F386" t="s">
        <v>21</v>
      </c>
      <c r="G386" t="s">
        <v>22</v>
      </c>
      <c r="H386">
        <v>184620.84</v>
      </c>
      <c r="I386" t="str">
        <f>"Halifax Opportunities Trust"</f>
        <v>Halifax Opportunities Trust</v>
      </c>
      <c r="J386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387" spans="1:10" x14ac:dyDescent="0.35">
      <c r="A387" t="str">
        <f t="shared" si="54"/>
        <v>JUN</v>
      </c>
      <c r="B387" t="str">
        <f t="shared" si="55"/>
        <v>20</v>
      </c>
      <c r="C387" t="str">
        <f t="shared" si="56"/>
        <v>2020/21</v>
      </c>
      <c r="D387" t="str">
        <f>"SC CK 215517"</f>
        <v>SC CK 215517</v>
      </c>
      <c r="E387" t="str">
        <f t="shared" si="57"/>
        <v>SC</v>
      </c>
      <c r="F387" t="s">
        <v>21</v>
      </c>
      <c r="G387" t="s">
        <v>22</v>
      </c>
      <c r="H387">
        <v>184620.84</v>
      </c>
      <c r="I387" t="str">
        <f>"Halifax Opportunities Trust"</f>
        <v>Halifax Opportunities Trust</v>
      </c>
      <c r="J387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388" spans="1:10" x14ac:dyDescent="0.35">
      <c r="A388" t="str">
        <f t="shared" si="54"/>
        <v>JUN</v>
      </c>
      <c r="B388" t="str">
        <f t="shared" si="55"/>
        <v>20</v>
      </c>
      <c r="C388" t="str">
        <f t="shared" si="56"/>
        <v>2020/21</v>
      </c>
      <c r="D388" t="str">
        <f>"SC CK 216312"</f>
        <v>SC CK 216312</v>
      </c>
      <c r="E388" t="str">
        <f t="shared" si="57"/>
        <v>SC</v>
      </c>
      <c r="F388" t="s">
        <v>21</v>
      </c>
      <c r="G388" t="s">
        <v>22</v>
      </c>
      <c r="H388">
        <v>12000</v>
      </c>
      <c r="I388" t="str">
        <f>"Parents Against Child Exploitation(PACE)"</f>
        <v>Parents Against Child Exploitation(PACE)</v>
      </c>
      <c r="J388" t="str">
        <f>"C &amp; P contracts - Child sex exploitation Expenses Supplies And Services CYP Commissioned Services Integrated commissioning - children's"</f>
        <v>C &amp; P contracts - Child sex exploitation Expenses Supplies And Services CYP Commissioned Services Integrated commissioning - children's</v>
      </c>
    </row>
    <row r="389" spans="1:10" x14ac:dyDescent="0.35">
      <c r="A389" t="str">
        <f t="shared" si="54"/>
        <v>JUN</v>
      </c>
      <c r="B389" t="str">
        <f t="shared" si="55"/>
        <v>20</v>
      </c>
      <c r="C389" t="str">
        <f t="shared" si="56"/>
        <v>2020/21</v>
      </c>
      <c r="D389" t="str">
        <f>"SC DC 215418"</f>
        <v>SC DC 215418</v>
      </c>
      <c r="E389" t="str">
        <f t="shared" si="57"/>
        <v>SC</v>
      </c>
      <c r="F389" t="s">
        <v>21</v>
      </c>
      <c r="G389" t="s">
        <v>22</v>
      </c>
      <c r="H389">
        <v>194.88</v>
      </c>
      <c r="I389" t="str">
        <f>"Carers Trust Mid Yorkshire"</f>
        <v>Carers Trust Mid Yorkshire</v>
      </c>
      <c r="J389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390" spans="1:10" x14ac:dyDescent="0.35">
      <c r="A390" t="str">
        <f t="shared" si="54"/>
        <v>JUN</v>
      </c>
      <c r="B390" t="str">
        <f t="shared" si="55"/>
        <v>20</v>
      </c>
      <c r="C390" t="str">
        <f t="shared" si="56"/>
        <v>2020/21</v>
      </c>
      <c r="D390" t="str">
        <f>"SC DC 215419"</f>
        <v>SC DC 215419</v>
      </c>
      <c r="E390" t="str">
        <f t="shared" si="57"/>
        <v>SC</v>
      </c>
      <c r="F390" t="s">
        <v>21</v>
      </c>
      <c r="G390" t="s">
        <v>22</v>
      </c>
      <c r="H390">
        <v>197.76</v>
      </c>
      <c r="I390" t="str">
        <f>"Carers Trust Mid Yorkshire"</f>
        <v>Carers Trust Mid Yorkshire</v>
      </c>
      <c r="J390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391" spans="1:10" x14ac:dyDescent="0.35">
      <c r="A391" t="str">
        <f t="shared" si="54"/>
        <v>JUN</v>
      </c>
      <c r="B391" t="str">
        <f t="shared" si="55"/>
        <v>20</v>
      </c>
      <c r="C391" t="str">
        <f t="shared" si="56"/>
        <v>2020/21</v>
      </c>
      <c r="D391" t="str">
        <f>"SC DC 215418"</f>
        <v>SC DC 215418</v>
      </c>
      <c r="E391" t="str">
        <f t="shared" si="57"/>
        <v>SC</v>
      </c>
      <c r="F391" t="s">
        <v>21</v>
      </c>
      <c r="G391" t="s">
        <v>22</v>
      </c>
      <c r="H391">
        <v>296.64</v>
      </c>
      <c r="I391" t="str">
        <f>"Carers Trust Mid Yorkshire"</f>
        <v>Carers Trust Mid Yorkshire</v>
      </c>
      <c r="J391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392" spans="1:10" x14ac:dyDescent="0.35">
      <c r="A392" t="str">
        <f t="shared" si="54"/>
        <v>JUN</v>
      </c>
      <c r="B392" t="str">
        <f t="shared" si="55"/>
        <v>20</v>
      </c>
      <c r="C392" t="str">
        <f t="shared" si="56"/>
        <v>2020/21</v>
      </c>
      <c r="D392" t="str">
        <f>"CE PH 014102"</f>
        <v>CE PH 014102</v>
      </c>
      <c r="E392" t="str">
        <f t="shared" si="57"/>
        <v>CE</v>
      </c>
      <c r="F392" t="s">
        <v>23</v>
      </c>
      <c r="G392" t="s">
        <v>24</v>
      </c>
      <c r="H392">
        <v>249204.83</v>
      </c>
      <c r="I392" t="str">
        <f>"Humankind"</f>
        <v>Humankind</v>
      </c>
      <c r="J392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393" spans="1:10" x14ac:dyDescent="0.35">
      <c r="A393" t="str">
        <f t="shared" si="54"/>
        <v>JUN</v>
      </c>
      <c r="B393" t="str">
        <f t="shared" si="55"/>
        <v>20</v>
      </c>
      <c r="C393" t="str">
        <f t="shared" si="56"/>
        <v>2020/21</v>
      </c>
      <c r="D393" t="str">
        <f>"CE PH 014163"</f>
        <v>CE PH 014163</v>
      </c>
      <c r="E393" t="str">
        <f t="shared" si="57"/>
        <v>CE</v>
      </c>
      <c r="F393" t="s">
        <v>23</v>
      </c>
      <c r="G393" t="s">
        <v>24</v>
      </c>
      <c r="H393">
        <v>250</v>
      </c>
      <c r="I393" t="str">
        <f>"Locala Community Partnerships CIC"</f>
        <v>Locala Community Partnerships CIC</v>
      </c>
      <c r="J393" t="str">
        <f>"Out of area GUM Private Contractors Agency And Contracted Services Sexual Health Public Health"</f>
        <v>Out of area GUM Private Contractors Agency And Contracted Services Sexual Health Public Health</v>
      </c>
    </row>
    <row r="394" spans="1:10" x14ac:dyDescent="0.35">
      <c r="A394" t="str">
        <f t="shared" si="54"/>
        <v>JUN</v>
      </c>
      <c r="B394" t="str">
        <f t="shared" si="55"/>
        <v>20</v>
      </c>
      <c r="C394" t="str">
        <f t="shared" si="56"/>
        <v>2020/21</v>
      </c>
      <c r="D394" t="str">
        <f>"CE PH 014164"</f>
        <v>CE PH 014164</v>
      </c>
      <c r="E394" t="str">
        <f t="shared" si="57"/>
        <v>CE</v>
      </c>
      <c r="F394" t="s">
        <v>23</v>
      </c>
      <c r="G394" t="s">
        <v>24</v>
      </c>
      <c r="H394">
        <v>605</v>
      </c>
      <c r="I394" t="str">
        <f>"Locala Community Partnerships CIC"</f>
        <v>Locala Community Partnerships CIC</v>
      </c>
      <c r="J394" t="str">
        <f>"Out of area GUM Private Contractors Agency And Contracted Services Sexual Health Public Health"</f>
        <v>Out of area GUM Private Contractors Agency And Contracted Services Sexual Health Public Health</v>
      </c>
    </row>
    <row r="395" spans="1:10" x14ac:dyDescent="0.35">
      <c r="A395" t="str">
        <f t="shared" si="54"/>
        <v>JUN</v>
      </c>
      <c r="B395" t="str">
        <f t="shared" si="55"/>
        <v>20</v>
      </c>
      <c r="C395" t="str">
        <f t="shared" si="56"/>
        <v>2020/21</v>
      </c>
      <c r="D395" t="str">
        <f>"CE PH 014146"</f>
        <v>CE PH 014146</v>
      </c>
      <c r="E395" t="str">
        <f t="shared" si="57"/>
        <v>CE</v>
      </c>
      <c r="F395" t="s">
        <v>23</v>
      </c>
      <c r="G395" t="s">
        <v>24</v>
      </c>
      <c r="H395">
        <v>128</v>
      </c>
      <c r="I395" t="str">
        <f>"Spectrum Community Health CIC"</f>
        <v>Spectrum Community Health CIC</v>
      </c>
      <c r="J395" t="str">
        <f>"Out of area GUM Private Contractors Agency And Contracted Services Sexual Health Public Health"</f>
        <v>Out of area GUM Private Contractors Agency And Contracted Services Sexual Health Public Health</v>
      </c>
    </row>
    <row r="396" spans="1:10" x14ac:dyDescent="0.35">
      <c r="A396" t="str">
        <f t="shared" si="54"/>
        <v>JUN</v>
      </c>
      <c r="B396" t="str">
        <f t="shared" si="55"/>
        <v>20</v>
      </c>
      <c r="C396" t="str">
        <f t="shared" si="56"/>
        <v>2020/21</v>
      </c>
      <c r="D396" t="str">
        <f>"CE PH 014113"</f>
        <v>CE PH 014113</v>
      </c>
      <c r="E396" t="str">
        <f t="shared" si="57"/>
        <v>CE</v>
      </c>
      <c r="F396" t="s">
        <v>23</v>
      </c>
      <c r="G396" t="s">
        <v>24</v>
      </c>
      <c r="H396">
        <v>296959.92</v>
      </c>
      <c r="I396" t="str">
        <f>"Locala Community Partnerships CIC"</f>
        <v>Locala Community Partnerships CIC</v>
      </c>
      <c r="J396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397" spans="1:10" x14ac:dyDescent="0.35">
      <c r="A397" t="str">
        <f t="shared" si="54"/>
        <v>JUN</v>
      </c>
      <c r="B397" t="str">
        <f t="shared" si="55"/>
        <v>20</v>
      </c>
      <c r="C397" t="str">
        <f t="shared" si="56"/>
        <v>2020/21</v>
      </c>
      <c r="D397" t="str">
        <f>"CE PH 014112"</f>
        <v>CE PH 014112</v>
      </c>
      <c r="E397" t="str">
        <f t="shared" si="57"/>
        <v>CE</v>
      </c>
      <c r="F397" t="s">
        <v>23</v>
      </c>
      <c r="G397" t="s">
        <v>24</v>
      </c>
      <c r="H397">
        <v>163520.75</v>
      </c>
      <c r="I397" t="str">
        <f>"Locala Community Partnerships CIC"</f>
        <v>Locala Community Partnerships CIC</v>
      </c>
      <c r="J397" t="str">
        <f>"School nursing Private Contractors Agency And Contracted Services Children / Young People's Public Health (incl 0-5) Public Health"</f>
        <v>School nursing Private Contractors Agency And Contracted Services Children / Young People's Public Health (incl 0-5) Public Health</v>
      </c>
    </row>
    <row r="398" spans="1:10" x14ac:dyDescent="0.35">
      <c r="A398" t="str">
        <f t="shared" si="54"/>
        <v>JUN</v>
      </c>
      <c r="B398" t="str">
        <f t="shared" si="55"/>
        <v>20</v>
      </c>
      <c r="C398" t="str">
        <f t="shared" si="56"/>
        <v>2020/21</v>
      </c>
      <c r="D398" t="str">
        <f>"CE PH 014096"</f>
        <v>CE PH 014096</v>
      </c>
      <c r="E398" t="str">
        <f t="shared" si="57"/>
        <v>CE</v>
      </c>
      <c r="F398" t="s">
        <v>23</v>
      </c>
      <c r="G398" t="s">
        <v>24</v>
      </c>
      <c r="H398">
        <v>22682</v>
      </c>
      <c r="I398" t="str">
        <f>"Humankind"</f>
        <v>Humankind</v>
      </c>
      <c r="J398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399" spans="1:10" x14ac:dyDescent="0.35">
      <c r="A399" t="str">
        <f t="shared" si="54"/>
        <v>JUN</v>
      </c>
      <c r="B399" t="str">
        <f t="shared" si="55"/>
        <v>20</v>
      </c>
      <c r="C399" t="str">
        <f t="shared" si="56"/>
        <v>2020/21</v>
      </c>
      <c r="D399" t="str">
        <f>"SS FD 113782"</f>
        <v>SS FD 113782</v>
      </c>
      <c r="E399" t="str">
        <f t="shared" si="57"/>
        <v>SS</v>
      </c>
      <c r="F399" t="s">
        <v>25</v>
      </c>
      <c r="G399" t="s">
        <v>22</v>
      </c>
      <c r="H399">
        <v>192</v>
      </c>
      <c r="I399" t="str">
        <f>"Carers Trust Mid Yorkshire"</f>
        <v>Carers Trust Mid Yorkshire</v>
      </c>
      <c r="J399" t="str">
        <f t="shared" ref="J399:J405" si="58"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400" spans="1:10" x14ac:dyDescent="0.35">
      <c r="A400" t="str">
        <f t="shared" si="54"/>
        <v>JUN</v>
      </c>
      <c r="B400" t="str">
        <f t="shared" si="55"/>
        <v>20</v>
      </c>
      <c r="C400" t="str">
        <f t="shared" si="56"/>
        <v>2020/21</v>
      </c>
      <c r="D400" t="str">
        <f>"SS FD 113786"</f>
        <v>SS FD 113786</v>
      </c>
      <c r="E400" t="str">
        <f t="shared" si="57"/>
        <v>SS</v>
      </c>
      <c r="F400" t="s">
        <v>25</v>
      </c>
      <c r="G400" t="s">
        <v>22</v>
      </c>
      <c r="H400">
        <v>2300.1999999999998</v>
      </c>
      <c r="I400" t="str">
        <f>"Helping Hands (HX)"</f>
        <v>Helping Hands (HX)</v>
      </c>
      <c r="J400" t="str">
        <f t="shared" si="58"/>
        <v>Flexible Day Care - Voluntary Associations Voluntary Associations Agency And Contracted Services Purchased Day Opportunities Learning Disabiliti</v>
      </c>
    </row>
    <row r="401" spans="1:10" x14ac:dyDescent="0.35">
      <c r="A401" t="str">
        <f t="shared" si="54"/>
        <v>JUN</v>
      </c>
      <c r="B401" t="str">
        <f t="shared" si="55"/>
        <v>20</v>
      </c>
      <c r="C401" t="str">
        <f t="shared" si="56"/>
        <v>2020/21</v>
      </c>
      <c r="D401" t="str">
        <f>"SS FD 113790"</f>
        <v>SS FD 113790</v>
      </c>
      <c r="E401" t="str">
        <f t="shared" si="57"/>
        <v>SS</v>
      </c>
      <c r="F401" t="s">
        <v>25</v>
      </c>
      <c r="G401" t="s">
        <v>22</v>
      </c>
      <c r="H401">
        <v>3583.44</v>
      </c>
      <c r="I401" t="str">
        <f>"The Hive (Halifax) Ltd"</f>
        <v>The Hive (Halifax) Ltd</v>
      </c>
      <c r="J401" t="str">
        <f t="shared" si="58"/>
        <v>Flexible Day Care - Voluntary Associations Voluntary Associations Agency And Contracted Services Purchased Day Opportunities Learning Disabiliti</v>
      </c>
    </row>
    <row r="402" spans="1:10" x14ac:dyDescent="0.35">
      <c r="A402" t="str">
        <f t="shared" si="54"/>
        <v>JUN</v>
      </c>
      <c r="B402" t="str">
        <f t="shared" si="55"/>
        <v>20</v>
      </c>
      <c r="C402" t="str">
        <f t="shared" si="56"/>
        <v>2020/21</v>
      </c>
      <c r="D402" t="str">
        <f>"SS FD 113790"</f>
        <v>SS FD 113790</v>
      </c>
      <c r="E402" t="str">
        <f t="shared" si="57"/>
        <v>SS</v>
      </c>
      <c r="F402" t="s">
        <v>25</v>
      </c>
      <c r="G402" t="s">
        <v>22</v>
      </c>
      <c r="H402">
        <v>3596.04</v>
      </c>
      <c r="I402" t="str">
        <f>"The Hive (Halifax) Ltd"</f>
        <v>The Hive (Halifax) Ltd</v>
      </c>
      <c r="J402" t="str">
        <f t="shared" si="58"/>
        <v>Flexible Day Care - Voluntary Associations Voluntary Associations Agency And Contracted Services Purchased Day Opportunities Learning Disabiliti</v>
      </c>
    </row>
    <row r="403" spans="1:10" x14ac:dyDescent="0.35">
      <c r="A403" t="str">
        <f t="shared" si="54"/>
        <v>JUN</v>
      </c>
      <c r="B403" t="str">
        <f t="shared" si="55"/>
        <v>20</v>
      </c>
      <c r="C403" t="str">
        <f t="shared" si="56"/>
        <v>2020/21</v>
      </c>
      <c r="D403" t="str">
        <f>"SS FD 113780"</f>
        <v>SS FD 113780</v>
      </c>
      <c r="E403" t="str">
        <f t="shared" si="57"/>
        <v>SS</v>
      </c>
      <c r="F403" t="s">
        <v>25</v>
      </c>
      <c r="G403" t="s">
        <v>22</v>
      </c>
      <c r="H403">
        <v>3811.95</v>
      </c>
      <c r="I403" t="str">
        <f>"The Next Step Trust"</f>
        <v>The Next Step Trust</v>
      </c>
      <c r="J403" t="str">
        <f t="shared" si="58"/>
        <v>Flexible Day Care - Voluntary Associations Voluntary Associations Agency And Contracted Services Purchased Day Opportunities Learning Disabiliti</v>
      </c>
    </row>
    <row r="404" spans="1:10" x14ac:dyDescent="0.35">
      <c r="A404" t="str">
        <f t="shared" ref="A404:A435" si="59">"JUN"</f>
        <v>JUN</v>
      </c>
      <c r="B404" t="str">
        <f t="shared" si="55"/>
        <v>20</v>
      </c>
      <c r="C404" t="str">
        <f t="shared" si="56"/>
        <v>2020/21</v>
      </c>
      <c r="D404" t="str">
        <f>"SS FD 113780"</f>
        <v>SS FD 113780</v>
      </c>
      <c r="E404" t="str">
        <f t="shared" si="57"/>
        <v>SS</v>
      </c>
      <c r="F404" t="s">
        <v>25</v>
      </c>
      <c r="G404" t="s">
        <v>22</v>
      </c>
      <c r="H404">
        <v>88873.67</v>
      </c>
      <c r="I404" t="str">
        <f>"The Next Step Trust"</f>
        <v>The Next Step Trust</v>
      </c>
      <c r="J404" t="str">
        <f t="shared" si="58"/>
        <v>Flexible Day Care - Voluntary Associations Voluntary Associations Agency And Contracted Services Purchased Day Opportunities Learning Disabiliti</v>
      </c>
    </row>
    <row r="405" spans="1:10" x14ac:dyDescent="0.35">
      <c r="A405" t="str">
        <f t="shared" si="59"/>
        <v>JUN</v>
      </c>
      <c r="B405" t="str">
        <f t="shared" si="55"/>
        <v>20</v>
      </c>
      <c r="C405" t="str">
        <f t="shared" si="56"/>
        <v>2020/21</v>
      </c>
      <c r="D405" t="str">
        <f>"SS FD 113789"</f>
        <v>SS FD 113789</v>
      </c>
      <c r="E405" t="str">
        <f t="shared" si="57"/>
        <v>SS</v>
      </c>
      <c r="F405" t="s">
        <v>25</v>
      </c>
      <c r="G405" t="s">
        <v>22</v>
      </c>
      <c r="H405">
        <v>33371.54</v>
      </c>
      <c r="I405" t="str">
        <f>"Pennine Magpie"</f>
        <v>Pennine Magpie</v>
      </c>
      <c r="J405" t="str">
        <f t="shared" si="58"/>
        <v>Flexible Day Care - Voluntary Associations Voluntary Associations Agency And Contracted Services Purchased Day Opportunities Learning Disabiliti</v>
      </c>
    </row>
    <row r="406" spans="1:10" x14ac:dyDescent="0.35">
      <c r="A406" t="str">
        <f t="shared" si="59"/>
        <v>JUN</v>
      </c>
      <c r="B406" t="str">
        <f t="shared" si="55"/>
        <v>20</v>
      </c>
      <c r="C406" t="str">
        <f t="shared" si="56"/>
        <v>2020/21</v>
      </c>
      <c r="D406" t="str">
        <f>"SS FD 114303"</f>
        <v>SS FD 114303</v>
      </c>
      <c r="E406" t="str">
        <f t="shared" si="57"/>
        <v>SS</v>
      </c>
      <c r="F406" t="s">
        <v>25</v>
      </c>
      <c r="G406" t="s">
        <v>22</v>
      </c>
      <c r="H406">
        <v>320.8</v>
      </c>
      <c r="I406" t="str">
        <f>"The Mayfield Trust"</f>
        <v>The Mayfield Trust</v>
      </c>
      <c r="J406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407" spans="1:10" x14ac:dyDescent="0.35">
      <c r="A407" t="str">
        <f t="shared" si="59"/>
        <v>JUN</v>
      </c>
      <c r="B407" t="str">
        <f t="shared" si="55"/>
        <v>20</v>
      </c>
      <c r="C407" t="str">
        <f t="shared" si="56"/>
        <v>2020/21</v>
      </c>
      <c r="D407" t="str">
        <f>"SS FD 114303"</f>
        <v>SS FD 114303</v>
      </c>
      <c r="E407" t="str">
        <f t="shared" si="57"/>
        <v>SS</v>
      </c>
      <c r="F407" t="s">
        <v>25</v>
      </c>
      <c r="G407" t="s">
        <v>22</v>
      </c>
      <c r="H407">
        <v>5535.95</v>
      </c>
      <c r="I407" t="str">
        <f>"The Mayfield Trust"</f>
        <v>The Mayfield Trust</v>
      </c>
      <c r="J407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408" spans="1:10" x14ac:dyDescent="0.35">
      <c r="A408" t="str">
        <f t="shared" si="59"/>
        <v>JUN</v>
      </c>
      <c r="B408" t="str">
        <f t="shared" si="55"/>
        <v>20</v>
      </c>
      <c r="C408" t="str">
        <f t="shared" si="56"/>
        <v>2020/21</v>
      </c>
      <c r="D408" t="str">
        <f>"SS FD 110135"</f>
        <v>SS FD 110135</v>
      </c>
      <c r="E408" t="str">
        <f t="shared" si="57"/>
        <v>SS</v>
      </c>
      <c r="F408" t="s">
        <v>25</v>
      </c>
      <c r="G408" t="s">
        <v>22</v>
      </c>
      <c r="H408">
        <v>22479.17</v>
      </c>
      <c r="I408" t="str">
        <f>"The Mayfield Trust"</f>
        <v>The Mayfield Trust</v>
      </c>
      <c r="J408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409" spans="1:10" x14ac:dyDescent="0.35">
      <c r="A409" t="str">
        <f t="shared" si="59"/>
        <v>JUN</v>
      </c>
      <c r="B409" t="str">
        <f t="shared" si="55"/>
        <v>20</v>
      </c>
      <c r="C409" t="str">
        <f t="shared" si="56"/>
        <v>2020/21</v>
      </c>
      <c r="D409" t="str">
        <f>"HS TA 016700"</f>
        <v>HS TA 016700</v>
      </c>
      <c r="E409" t="str">
        <f t="shared" si="57"/>
        <v>HS</v>
      </c>
      <c r="F409" t="s">
        <v>26</v>
      </c>
      <c r="G409" t="s">
        <v>18</v>
      </c>
      <c r="H409">
        <v>39909.24</v>
      </c>
      <c r="I409" t="str">
        <f>"Christians Together Calderdale"</f>
        <v>Christians Together Calderdale</v>
      </c>
      <c r="J409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410" spans="1:10" x14ac:dyDescent="0.35">
      <c r="A410" t="str">
        <f t="shared" si="59"/>
        <v>JUN</v>
      </c>
      <c r="B410" t="str">
        <f t="shared" si="55"/>
        <v>20</v>
      </c>
      <c r="C410" t="str">
        <f t="shared" si="56"/>
        <v>2020/21</v>
      </c>
      <c r="D410" t="str">
        <f>"HS TA 016643"</f>
        <v>HS TA 016643</v>
      </c>
      <c r="E410" t="str">
        <f t="shared" si="57"/>
        <v>HS</v>
      </c>
      <c r="F410" t="s">
        <v>26</v>
      </c>
      <c r="G410" t="s">
        <v>18</v>
      </c>
      <c r="H410">
        <v>90</v>
      </c>
      <c r="I410" t="str">
        <f>"Calder Valley Transport"</f>
        <v>Calder Valley Transport</v>
      </c>
      <c r="J410" t="str">
        <f>"Other Equipment Repairs Equipment Furniture And Materials Supplies And Services Ryburn House Housing Services"</f>
        <v>Other Equipment Repairs Equipment Furniture And Materials Supplies And Services Ryburn House Housing Services</v>
      </c>
    </row>
    <row r="411" spans="1:10" x14ac:dyDescent="0.35">
      <c r="A411" t="str">
        <f t="shared" si="59"/>
        <v>JUN</v>
      </c>
      <c r="B411" t="str">
        <f t="shared" si="55"/>
        <v>20</v>
      </c>
      <c r="C411" t="str">
        <f t="shared" si="56"/>
        <v>2020/21</v>
      </c>
      <c r="D411" t="str">
        <f>"HS TA 016693"</f>
        <v>HS TA 016693</v>
      </c>
      <c r="E411" t="str">
        <f t="shared" si="57"/>
        <v>HS</v>
      </c>
      <c r="F411" t="s">
        <v>26</v>
      </c>
      <c r="G411" t="s">
        <v>18</v>
      </c>
      <c r="H411">
        <v>625</v>
      </c>
      <c r="I411" t="str">
        <f>"Fareshare Yorkshire Ltd"</f>
        <v>Fareshare Yorkshire Ltd</v>
      </c>
      <c r="J411" t="str">
        <f>"FareShare Miscellaneous Expenses Supplies And Services Ryburn House Housing Services"</f>
        <v>FareShare Miscellaneous Expenses Supplies And Services Ryburn House Housing Services</v>
      </c>
    </row>
    <row r="412" spans="1:10" x14ac:dyDescent="0.35">
      <c r="A412" t="str">
        <f t="shared" si="59"/>
        <v>JUN</v>
      </c>
      <c r="B412" t="str">
        <f t="shared" si="55"/>
        <v>20</v>
      </c>
      <c r="C412" t="str">
        <f t="shared" si="56"/>
        <v>2020/21</v>
      </c>
      <c r="D412" t="str">
        <f>"SC LA 216257"</f>
        <v>SC LA 216257</v>
      </c>
      <c r="E412" t="str">
        <f t="shared" si="57"/>
        <v>SC</v>
      </c>
      <c r="F412" t="s">
        <v>29</v>
      </c>
      <c r="G412" t="s">
        <v>30</v>
      </c>
      <c r="H412">
        <v>700</v>
      </c>
      <c r="I412" t="str">
        <f>"Field Lane Children's Centre"</f>
        <v>Field Lane Children's Centre</v>
      </c>
      <c r="J412" t="str">
        <f>"Standards Fund grant devolved to schools Government Grants Income Government Grant Holding A/C Children and Young People's Serv - Central Depts."</f>
        <v>Standards Fund grant devolved to schools Government Grants Income Government Grant Holding A/C Children and Young People's Serv - Central Depts.</v>
      </c>
    </row>
    <row r="413" spans="1:10" x14ac:dyDescent="0.35">
      <c r="A413" t="str">
        <f t="shared" si="59"/>
        <v>JUN</v>
      </c>
      <c r="B413" t="str">
        <f t="shared" si="55"/>
        <v>20</v>
      </c>
      <c r="C413" t="str">
        <f t="shared" si="56"/>
        <v>2020/21</v>
      </c>
      <c r="D413" t="str">
        <f>"SC CY 216346"</f>
        <v>SC CY 216346</v>
      </c>
      <c r="E413" t="str">
        <f t="shared" si="57"/>
        <v>SC</v>
      </c>
      <c r="F413" t="s">
        <v>29</v>
      </c>
      <c r="G413" t="s">
        <v>30</v>
      </c>
      <c r="H413">
        <v>558</v>
      </c>
      <c r="I413" t="str">
        <f>"Osca Foundation Ltd"</f>
        <v>Osca Foundation Ltd</v>
      </c>
      <c r="J413" t="str">
        <f>"Programme Costs Miscellaneous Expenses Supplies And Services CYP Participation Project Children and Young People's Serv - Central Depts."</f>
        <v>Programme Costs Miscellaneous Expenses Supplies And Services CYP Participation Project Children and Young People's Serv - Central Depts.</v>
      </c>
    </row>
    <row r="414" spans="1:10" x14ac:dyDescent="0.35">
      <c r="A414" t="str">
        <f t="shared" si="59"/>
        <v>JUN</v>
      </c>
      <c r="B414" t="str">
        <f t="shared" si="55"/>
        <v>20</v>
      </c>
      <c r="C414" t="str">
        <f t="shared" si="56"/>
        <v>2020/21</v>
      </c>
      <c r="D414" t="str">
        <f>"SC YS 216190"</f>
        <v>SC YS 216190</v>
      </c>
      <c r="E414" t="str">
        <f t="shared" si="57"/>
        <v>SC</v>
      </c>
      <c r="F414" t="s">
        <v>31</v>
      </c>
      <c r="G414" t="s">
        <v>30</v>
      </c>
      <c r="H414">
        <v>24341</v>
      </c>
      <c r="I414" t="str">
        <f>"Barnardo's Invoiced Income"</f>
        <v>Barnardo's Invoiced Income</v>
      </c>
      <c r="J414" t="str">
        <f>"Grants to Voluntary Associations Grants And Subscriptions Supplies And Services Youth Service - Central Costs Schools and Children's Services -"</f>
        <v>Grants to Voluntary Associations Grants And Subscriptions Supplies And Services Youth Service - Central Costs Schools and Children's Services -</v>
      </c>
    </row>
    <row r="415" spans="1:10" x14ac:dyDescent="0.35">
      <c r="A415" t="str">
        <f t="shared" si="59"/>
        <v>JUN</v>
      </c>
      <c r="B415" t="str">
        <f t="shared" si="55"/>
        <v>20</v>
      </c>
      <c r="C415" t="str">
        <f t="shared" si="56"/>
        <v>2020/21</v>
      </c>
      <c r="D415" t="str">
        <f>"SC FT 214743"</f>
        <v>SC FT 214743</v>
      </c>
      <c r="E415" t="str">
        <f t="shared" si="57"/>
        <v>SC</v>
      </c>
      <c r="F415" t="s">
        <v>32</v>
      </c>
      <c r="G415" t="s">
        <v>30</v>
      </c>
      <c r="H415">
        <v>95</v>
      </c>
      <c r="I415" t="str">
        <f>"Greenhome Calderdale CIC"</f>
        <v>Greenhome Calderdale CIC</v>
      </c>
      <c r="J415" t="str">
        <f>"General Income Customer And Client Receipts Income Family Intervention Team Childrens Services Unit"</f>
        <v>General Income Customer And Client Receipts Income Family Intervention Team Childrens Services Unit</v>
      </c>
    </row>
    <row r="416" spans="1:10" x14ac:dyDescent="0.35">
      <c r="A416" t="str">
        <f t="shared" si="59"/>
        <v>JUN</v>
      </c>
      <c r="B416" t="str">
        <f t="shared" si="55"/>
        <v>20</v>
      </c>
      <c r="C416" t="str">
        <f t="shared" si="56"/>
        <v>2020/21</v>
      </c>
      <c r="D416" t="str">
        <f>"SC EY 216292"</f>
        <v>SC EY 216292</v>
      </c>
      <c r="E416" t="str">
        <f t="shared" si="57"/>
        <v>SC</v>
      </c>
      <c r="F416" t="s">
        <v>32</v>
      </c>
      <c r="G416" t="s">
        <v>30</v>
      </c>
      <c r="H416">
        <v>459</v>
      </c>
      <c r="I416" t="str">
        <f>"Creations Community Childrens Centre"</f>
        <v>Creations Community Childrens Centre</v>
      </c>
      <c r="J416" t="str">
        <f t="shared" ref="J416:J423" si="60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417" spans="1:10" x14ac:dyDescent="0.35">
      <c r="A417" t="str">
        <f t="shared" si="59"/>
        <v>JUN</v>
      </c>
      <c r="B417" t="str">
        <f t="shared" si="55"/>
        <v>20</v>
      </c>
      <c r="C417" t="str">
        <f t="shared" si="56"/>
        <v>2020/21</v>
      </c>
      <c r="D417" t="str">
        <f>"SC EY 216308"</f>
        <v>SC EY 216308</v>
      </c>
      <c r="E417" t="str">
        <f t="shared" si="57"/>
        <v>SC</v>
      </c>
      <c r="F417" t="s">
        <v>32</v>
      </c>
      <c r="G417" t="s">
        <v>30</v>
      </c>
      <c r="H417">
        <v>210</v>
      </c>
      <c r="I417" t="str">
        <f>"Halifax Opportunities Trust"</f>
        <v>Halifax Opportunities Trust</v>
      </c>
      <c r="J417" t="str">
        <f t="shared" si="60"/>
        <v>Access to Support provision Other Agency And Contracted Services Agency And Contracted Services Early Intervention Childcare Funding Childrens S</v>
      </c>
    </row>
    <row r="418" spans="1:10" x14ac:dyDescent="0.35">
      <c r="A418" t="str">
        <f t="shared" si="59"/>
        <v>JUN</v>
      </c>
      <c r="B418" t="str">
        <f t="shared" si="55"/>
        <v>20</v>
      </c>
      <c r="C418" t="str">
        <f t="shared" si="56"/>
        <v>2020/21</v>
      </c>
      <c r="D418" t="str">
        <f>"SC EY 216300"</f>
        <v>SC EY 216300</v>
      </c>
      <c r="E418" t="str">
        <f t="shared" si="57"/>
        <v>SC</v>
      </c>
      <c r="F418" t="s">
        <v>32</v>
      </c>
      <c r="G418" t="s">
        <v>30</v>
      </c>
      <c r="H418">
        <v>1160</v>
      </c>
      <c r="I418" t="str">
        <f>"Innovations Children's Centre"</f>
        <v>Innovations Children's Centre</v>
      </c>
      <c r="J418" t="str">
        <f t="shared" si="60"/>
        <v>Access to Support provision Other Agency And Contracted Services Agency And Contracted Services Early Intervention Childcare Funding Childrens S</v>
      </c>
    </row>
    <row r="419" spans="1:10" x14ac:dyDescent="0.35">
      <c r="A419" t="str">
        <f t="shared" si="59"/>
        <v>JUN</v>
      </c>
      <c r="B419" t="str">
        <f t="shared" si="55"/>
        <v>20</v>
      </c>
      <c r="C419" t="str">
        <f t="shared" si="56"/>
        <v>2020/21</v>
      </c>
      <c r="D419" t="str">
        <f>"SC EY 216301"</f>
        <v>SC EY 216301</v>
      </c>
      <c r="E419" t="str">
        <f t="shared" si="57"/>
        <v>SC</v>
      </c>
      <c r="F419" t="s">
        <v>32</v>
      </c>
      <c r="G419" t="s">
        <v>30</v>
      </c>
      <c r="H419">
        <v>735</v>
      </c>
      <c r="I419" t="str">
        <f>"Jubilee Children's Centre"</f>
        <v>Jubilee Children's Centre</v>
      </c>
      <c r="J419" t="str">
        <f t="shared" si="60"/>
        <v>Access to Support provision Other Agency And Contracted Services Agency And Contracted Services Early Intervention Childcare Funding Childrens S</v>
      </c>
    </row>
    <row r="420" spans="1:10" x14ac:dyDescent="0.35">
      <c r="A420" t="str">
        <f t="shared" si="59"/>
        <v>JUN</v>
      </c>
      <c r="B420" t="str">
        <f t="shared" si="55"/>
        <v>20</v>
      </c>
      <c r="C420" t="str">
        <f t="shared" si="56"/>
        <v>2020/21</v>
      </c>
      <c r="D420" t="str">
        <f>"SC EY 216287"</f>
        <v>SC EY 216287</v>
      </c>
      <c r="E420" t="str">
        <f t="shared" si="57"/>
        <v>SC</v>
      </c>
      <c r="F420" t="s">
        <v>32</v>
      </c>
      <c r="G420" t="s">
        <v>30</v>
      </c>
      <c r="H420">
        <v>286</v>
      </c>
      <c r="I420" t="str">
        <f>"Ash Green Childrens Centre"</f>
        <v>Ash Green Childrens Centre</v>
      </c>
      <c r="J420" t="str">
        <f t="shared" si="60"/>
        <v>Access to Support provision Other Agency And Contracted Services Agency And Contracted Services Early Intervention Childcare Funding Childrens S</v>
      </c>
    </row>
    <row r="421" spans="1:10" x14ac:dyDescent="0.35">
      <c r="A421" t="str">
        <f t="shared" si="59"/>
        <v>JUN</v>
      </c>
      <c r="B421" t="str">
        <f t="shared" si="55"/>
        <v>20</v>
      </c>
      <c r="C421" t="str">
        <f t="shared" si="56"/>
        <v>2020/21</v>
      </c>
      <c r="D421" t="str">
        <f>"SC EY 216296"</f>
        <v>SC EY 216296</v>
      </c>
      <c r="E421" t="str">
        <f t="shared" si="57"/>
        <v>SC</v>
      </c>
      <c r="F421" t="s">
        <v>32</v>
      </c>
      <c r="G421" t="s">
        <v>30</v>
      </c>
      <c r="H421">
        <v>1588</v>
      </c>
      <c r="I421" t="str">
        <f>"Kevin Pearce Childrens Centre"</f>
        <v>Kevin Pearce Childrens Centre</v>
      </c>
      <c r="J421" t="str">
        <f t="shared" si="60"/>
        <v>Access to Support provision Other Agency And Contracted Services Agency And Contracted Services Early Intervention Childcare Funding Childrens S</v>
      </c>
    </row>
    <row r="422" spans="1:10" x14ac:dyDescent="0.35">
      <c r="A422" t="str">
        <f t="shared" si="59"/>
        <v>JUN</v>
      </c>
      <c r="B422" t="str">
        <f t="shared" si="55"/>
        <v>20</v>
      </c>
      <c r="C422" t="str">
        <f t="shared" si="56"/>
        <v>2020/21</v>
      </c>
      <c r="D422" t="str">
        <f>"SC EY 216298"</f>
        <v>SC EY 216298</v>
      </c>
      <c r="E422" t="str">
        <f t="shared" si="57"/>
        <v>SC</v>
      </c>
      <c r="F422" t="s">
        <v>32</v>
      </c>
      <c r="G422" t="s">
        <v>30</v>
      </c>
      <c r="H422">
        <v>180</v>
      </c>
      <c r="I422" t="str">
        <f>"Siddal Children's Centre"</f>
        <v>Siddal Children's Centre</v>
      </c>
      <c r="J422" t="str">
        <f t="shared" si="60"/>
        <v>Access to Support provision Other Agency And Contracted Services Agency And Contracted Services Early Intervention Childcare Funding Childrens S</v>
      </c>
    </row>
    <row r="423" spans="1:10" x14ac:dyDescent="0.35">
      <c r="A423" t="str">
        <f t="shared" si="59"/>
        <v>JUN</v>
      </c>
      <c r="B423" t="str">
        <f t="shared" si="55"/>
        <v>20</v>
      </c>
      <c r="C423" t="str">
        <f t="shared" si="56"/>
        <v>2020/21</v>
      </c>
      <c r="D423" t="str">
        <f>"SC EY 216299"</f>
        <v>SC EY 216299</v>
      </c>
      <c r="E423" t="str">
        <f t="shared" si="57"/>
        <v>SC</v>
      </c>
      <c r="F423" t="s">
        <v>32</v>
      </c>
      <c r="G423" t="s">
        <v>30</v>
      </c>
      <c r="H423">
        <v>248</v>
      </c>
      <c r="I423" t="str">
        <f>"Todmorden Children's Centre"</f>
        <v>Todmorden Children's Centre</v>
      </c>
      <c r="J423" t="str">
        <f t="shared" si="60"/>
        <v>Access to Support provision Other Agency And Contracted Services Agency And Contracted Services Early Intervention Childcare Funding Childrens S</v>
      </c>
    </row>
    <row r="424" spans="1:10" x14ac:dyDescent="0.35">
      <c r="A424" t="str">
        <f t="shared" si="59"/>
        <v>JUN</v>
      </c>
      <c r="B424" t="str">
        <f t="shared" si="55"/>
        <v>20</v>
      </c>
      <c r="C424" t="str">
        <f t="shared" si="56"/>
        <v>2020/21</v>
      </c>
      <c r="D424" t="str">
        <f>"SC EY 216393"</f>
        <v>SC EY 216393</v>
      </c>
      <c r="E424" t="str">
        <f t="shared" si="57"/>
        <v>SC</v>
      </c>
      <c r="F424" t="s">
        <v>32</v>
      </c>
      <c r="G424" t="s">
        <v>30</v>
      </c>
      <c r="H424">
        <v>517.5</v>
      </c>
      <c r="I424" t="str">
        <f>"Creations Community Childrens Centre"</f>
        <v>Creations Community Childrens Centre</v>
      </c>
      <c r="J424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425" spans="1:10" x14ac:dyDescent="0.35">
      <c r="A425" t="str">
        <f t="shared" si="59"/>
        <v>JUN</v>
      </c>
      <c r="B425" t="str">
        <f t="shared" si="55"/>
        <v>20</v>
      </c>
      <c r="C425" t="str">
        <f t="shared" si="56"/>
        <v>2020/21</v>
      </c>
      <c r="D425" t="str">
        <f>"SC EY 216400"</f>
        <v>SC EY 216400</v>
      </c>
      <c r="E425" t="str">
        <f t="shared" si="57"/>
        <v>SC</v>
      </c>
      <c r="F425" t="s">
        <v>32</v>
      </c>
      <c r="G425" t="s">
        <v>30</v>
      </c>
      <c r="H425">
        <v>1170</v>
      </c>
      <c r="I425" t="str">
        <f>"Kevin Pearce Childrens Centre"</f>
        <v>Kevin Pearce Childrens Centre</v>
      </c>
      <c r="J425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426" spans="1:10" x14ac:dyDescent="0.35">
      <c r="A426" t="str">
        <f t="shared" si="59"/>
        <v>JUN</v>
      </c>
      <c r="B426" t="str">
        <f t="shared" si="55"/>
        <v>20</v>
      </c>
      <c r="C426" t="str">
        <f t="shared" si="56"/>
        <v>2020/21</v>
      </c>
      <c r="E426" t="str">
        <f t="shared" si="57"/>
        <v/>
      </c>
      <c r="F426" t="s">
        <v>32</v>
      </c>
      <c r="G426" t="s">
        <v>30</v>
      </c>
      <c r="H426">
        <v>1009.8</v>
      </c>
      <c r="I426" t="str">
        <f>"Children's Corner Pre-School Committee"</f>
        <v>Children's Corner Pre-School Committee</v>
      </c>
      <c r="J426" t="str">
        <f t="shared" ref="J426:J433" si="61">"3 Year Old Funding Other Committees Other Committees Of The Council Agency And Contracted Services Nursery Grant Funding Childrens Services Unit"</f>
        <v>3 Year Old Funding Other Committees Other Committees Of The Council Agency And Contracted Services Nursery Grant Funding Childrens Services Unit</v>
      </c>
    </row>
    <row r="427" spans="1:10" x14ac:dyDescent="0.35">
      <c r="A427" t="str">
        <f t="shared" si="59"/>
        <v>JUN</v>
      </c>
      <c r="B427" t="str">
        <f t="shared" si="55"/>
        <v>20</v>
      </c>
      <c r="C427" t="str">
        <f t="shared" si="56"/>
        <v>2020/21</v>
      </c>
      <c r="E427" t="str">
        <f t="shared" si="57"/>
        <v/>
      </c>
      <c r="F427" t="s">
        <v>32</v>
      </c>
      <c r="G427" t="s">
        <v>30</v>
      </c>
      <c r="H427">
        <v>421.2</v>
      </c>
      <c r="I427" t="str">
        <f>"Creations Community Childrens Centre"</f>
        <v>Creations Community Childrens Centre</v>
      </c>
      <c r="J427" t="str">
        <f t="shared" si="61"/>
        <v>3 Year Old Funding Other Committees Other Committees Of The Council Agency And Contracted Services Nursery Grant Funding Childrens Services Unit</v>
      </c>
    </row>
    <row r="428" spans="1:10" x14ac:dyDescent="0.35">
      <c r="A428" t="str">
        <f t="shared" si="59"/>
        <v>JUN</v>
      </c>
      <c r="B428" t="str">
        <f t="shared" si="55"/>
        <v>20</v>
      </c>
      <c r="C428" t="str">
        <f t="shared" si="56"/>
        <v>2020/21</v>
      </c>
      <c r="E428" t="str">
        <f t="shared" si="57"/>
        <v/>
      </c>
      <c r="F428" t="s">
        <v>32</v>
      </c>
      <c r="G428" t="s">
        <v>30</v>
      </c>
      <c r="H428">
        <v>729</v>
      </c>
      <c r="I428" t="str">
        <f>"Eureka Nursery"</f>
        <v>Eureka Nursery</v>
      </c>
      <c r="J428" t="str">
        <f t="shared" si="61"/>
        <v>3 Year Old Funding Other Committees Other Committees Of The Council Agency And Contracted Services Nursery Grant Funding Childrens Services Unit</v>
      </c>
    </row>
    <row r="429" spans="1:10" x14ac:dyDescent="0.35">
      <c r="A429" t="str">
        <f t="shared" si="59"/>
        <v>JUN</v>
      </c>
      <c r="B429" t="str">
        <f t="shared" si="55"/>
        <v>20</v>
      </c>
      <c r="C429" t="str">
        <f t="shared" si="56"/>
        <v>2020/21</v>
      </c>
      <c r="E429" t="str">
        <f t="shared" si="57"/>
        <v/>
      </c>
      <c r="F429" t="s">
        <v>32</v>
      </c>
      <c r="G429" t="s">
        <v>30</v>
      </c>
      <c r="H429">
        <v>10.8</v>
      </c>
      <c r="I429" t="str">
        <f>"Halifax Opportunities Trust"</f>
        <v>Halifax Opportunities Trust</v>
      </c>
      <c r="J429" t="str">
        <f t="shared" si="61"/>
        <v>3 Year Old Funding Other Committees Other Committees Of The Council Agency And Contracted Services Nursery Grant Funding Childrens Services Unit</v>
      </c>
    </row>
    <row r="430" spans="1:10" x14ac:dyDescent="0.35">
      <c r="A430" t="str">
        <f t="shared" si="59"/>
        <v>JUN</v>
      </c>
      <c r="B430" t="str">
        <f t="shared" si="55"/>
        <v>20</v>
      </c>
      <c r="C430" t="str">
        <f t="shared" si="56"/>
        <v>2020/21</v>
      </c>
      <c r="E430" t="str">
        <f t="shared" si="57"/>
        <v/>
      </c>
      <c r="F430" t="s">
        <v>32</v>
      </c>
      <c r="G430" t="s">
        <v>30</v>
      </c>
      <c r="H430">
        <v>2682</v>
      </c>
      <c r="I430" t="str">
        <f>"Kevin Pearce Childrens Centre"</f>
        <v>Kevin Pearce Childrens Centre</v>
      </c>
      <c r="J430" t="str">
        <f t="shared" si="61"/>
        <v>3 Year Old Funding Other Committees Other Committees Of The Council Agency And Contracted Services Nursery Grant Funding Childrens Services Unit</v>
      </c>
    </row>
    <row r="431" spans="1:10" x14ac:dyDescent="0.35">
      <c r="A431" t="str">
        <f t="shared" si="59"/>
        <v>JUN</v>
      </c>
      <c r="B431" t="str">
        <f t="shared" si="55"/>
        <v>20</v>
      </c>
      <c r="C431" t="str">
        <f t="shared" si="56"/>
        <v>2020/21</v>
      </c>
      <c r="E431" t="str">
        <f t="shared" si="57"/>
        <v/>
      </c>
      <c r="F431" t="s">
        <v>32</v>
      </c>
      <c r="G431" t="s">
        <v>30</v>
      </c>
      <c r="H431">
        <v>115.65</v>
      </c>
      <c r="I431" t="str">
        <f>"St Augustines Centre"</f>
        <v>St Augustines Centre</v>
      </c>
      <c r="J431" t="str">
        <f t="shared" si="61"/>
        <v>3 Year Old Funding Other Committees Other Committees Of The Council Agency And Contracted Services Nursery Grant Funding Childrens Services Unit</v>
      </c>
    </row>
    <row r="432" spans="1:10" x14ac:dyDescent="0.35">
      <c r="A432" t="str">
        <f t="shared" si="59"/>
        <v>JUN</v>
      </c>
      <c r="B432" t="str">
        <f t="shared" si="55"/>
        <v>20</v>
      </c>
      <c r="C432" t="str">
        <f t="shared" si="56"/>
        <v>2020/21</v>
      </c>
      <c r="E432" t="str">
        <f t="shared" si="57"/>
        <v/>
      </c>
      <c r="F432" t="s">
        <v>32</v>
      </c>
      <c r="G432" t="s">
        <v>30</v>
      </c>
      <c r="H432">
        <v>283.5</v>
      </c>
      <c r="I432" t="str">
        <f>"Sowood Preschool &amp; Community Association"</f>
        <v>Sowood Preschool &amp; Community Association</v>
      </c>
      <c r="J432" t="str">
        <f t="shared" si="61"/>
        <v>3 Year Old Funding Other Committees Other Committees Of The Council Agency And Contracted Services Nursery Grant Funding Childrens Services Unit</v>
      </c>
    </row>
    <row r="433" spans="1:10" x14ac:dyDescent="0.35">
      <c r="A433" t="str">
        <f t="shared" si="59"/>
        <v>JUN</v>
      </c>
      <c r="B433" t="str">
        <f t="shared" si="55"/>
        <v>20</v>
      </c>
      <c r="C433" t="str">
        <f t="shared" si="56"/>
        <v>2020/21</v>
      </c>
      <c r="E433" t="str">
        <f t="shared" si="57"/>
        <v/>
      </c>
      <c r="F433" t="s">
        <v>32</v>
      </c>
      <c r="G433" t="s">
        <v>30</v>
      </c>
      <c r="H433">
        <v>668.34</v>
      </c>
      <c r="I433" t="str">
        <f>"Siddal Children's Centre"</f>
        <v>Siddal Children's Centre</v>
      </c>
      <c r="J433" t="str">
        <f t="shared" si="61"/>
        <v>3 Year Old Funding Other Committees Other Committees Of The Council Agency And Contracted Services Nursery Grant Funding Childrens Services Unit</v>
      </c>
    </row>
    <row r="434" spans="1:10" x14ac:dyDescent="0.35">
      <c r="A434" t="str">
        <f t="shared" si="59"/>
        <v>JUN</v>
      </c>
      <c r="B434" t="str">
        <f t="shared" si="55"/>
        <v>20</v>
      </c>
      <c r="C434" t="str">
        <f t="shared" si="56"/>
        <v>2020/21</v>
      </c>
      <c r="D434" t="str">
        <f>"SC BP 216014"</f>
        <v>SC BP 216014</v>
      </c>
      <c r="E434" t="str">
        <f t="shared" si="57"/>
        <v>SC</v>
      </c>
      <c r="F434" t="s">
        <v>33</v>
      </c>
      <c r="G434" t="s">
        <v>30</v>
      </c>
      <c r="H434">
        <v>25</v>
      </c>
      <c r="I434" t="str">
        <f>"Greenhome Calderdale CIC"</f>
        <v>Greenhome Calderdale CIC</v>
      </c>
      <c r="J434" t="str">
        <f>"Sec 17 - Children In Need (N L A) - Other Expenses Miscellaneous Expenses Supplies And Services North &amp; East/Lower Valley CIN/CP (non staff) Chi"</f>
        <v>Sec 17 - Children In Need (N L A) - Other Expenses Miscellaneous Expenses Supplies And Services North &amp; East/Lower Valley CIN/CP (non staff) Chi</v>
      </c>
    </row>
    <row r="435" spans="1:10" x14ac:dyDescent="0.35">
      <c r="A435" t="str">
        <f t="shared" si="59"/>
        <v>JUN</v>
      </c>
      <c r="B435" t="str">
        <f t="shared" si="55"/>
        <v>20</v>
      </c>
      <c r="C435" t="str">
        <f t="shared" si="56"/>
        <v>2020/21</v>
      </c>
      <c r="D435" t="str">
        <f>"SC BP 216145"</f>
        <v>SC BP 216145</v>
      </c>
      <c r="E435" t="str">
        <f t="shared" si="57"/>
        <v>SC</v>
      </c>
      <c r="F435" t="s">
        <v>33</v>
      </c>
      <c r="G435" t="s">
        <v>30</v>
      </c>
      <c r="H435">
        <v>168</v>
      </c>
      <c r="I435" t="str">
        <f>"Kevin Pearce Childrens Centre"</f>
        <v>Kevin Pearce Childrens Centre</v>
      </c>
      <c r="J435" t="str">
        <f>"Nursery Fees Services Supplies And Services Central and West &amp; Upper Valley CIN/CP (non staff) Childrens Care Services"</f>
        <v>Nursery Fees Services Supplies And Services Central and West &amp; Upper Valley CIN/CP (non staff) Childrens Care Services</v>
      </c>
    </row>
    <row r="436" spans="1:10" x14ac:dyDescent="0.35">
      <c r="A436" t="str">
        <f t="shared" ref="A436:A467" si="62">"JUN"</f>
        <v>JUN</v>
      </c>
      <c r="B436" t="str">
        <f t="shared" si="55"/>
        <v>20</v>
      </c>
      <c r="C436" t="str">
        <f t="shared" si="56"/>
        <v>2020/21</v>
      </c>
      <c r="D436" t="str">
        <f>"SC BP 216145"</f>
        <v>SC BP 216145</v>
      </c>
      <c r="E436" t="str">
        <f t="shared" si="57"/>
        <v>SC</v>
      </c>
      <c r="F436" t="s">
        <v>33</v>
      </c>
      <c r="G436" t="s">
        <v>30</v>
      </c>
      <c r="H436">
        <v>168</v>
      </c>
      <c r="I436" t="str">
        <f>"Kevin Pearce Childrens Centre"</f>
        <v>Kevin Pearce Childrens Centre</v>
      </c>
      <c r="J436" t="str">
        <f>"Nursery Fees Services Supplies And Services Central and West &amp; Upper Valley CIN/CP (non staff) Childrens Care Services"</f>
        <v>Nursery Fees Services Supplies And Services Central and West &amp; Upper Valley CIN/CP (non staff) Childrens Care Services</v>
      </c>
    </row>
    <row r="437" spans="1:10" x14ac:dyDescent="0.35">
      <c r="A437" t="str">
        <f t="shared" si="62"/>
        <v>JUN</v>
      </c>
      <c r="B437" t="str">
        <f t="shared" si="55"/>
        <v>20</v>
      </c>
      <c r="C437" t="str">
        <f t="shared" si="56"/>
        <v>2020/21</v>
      </c>
      <c r="D437" t="str">
        <f>"SC FS 216146"</f>
        <v>SC FS 216146</v>
      </c>
      <c r="E437" t="str">
        <f t="shared" si="57"/>
        <v>SC</v>
      </c>
      <c r="F437" t="s">
        <v>33</v>
      </c>
      <c r="G437" t="s">
        <v>30</v>
      </c>
      <c r="H437">
        <v>478.5</v>
      </c>
      <c r="I437" t="str">
        <f>"Fostering Network"</f>
        <v>Fostering Network</v>
      </c>
      <c r="J437" t="str">
        <f>"Recruitment of Carers Miscellaneous Expenses Supplies And Services Fostering Service Childrens Care Services"</f>
        <v>Recruitment of Carers Miscellaneous Expenses Supplies And Services Fostering Service Childrens Care Services</v>
      </c>
    </row>
    <row r="438" spans="1:10" x14ac:dyDescent="0.35">
      <c r="A438" t="str">
        <f t="shared" si="62"/>
        <v>JUN</v>
      </c>
      <c r="B438" t="str">
        <f t="shared" si="55"/>
        <v>20</v>
      </c>
      <c r="C438" t="str">
        <f t="shared" si="56"/>
        <v>2020/21</v>
      </c>
      <c r="D438" t="str">
        <f>"SC PF 215479"</f>
        <v>SC PF 215479</v>
      </c>
      <c r="E438" t="str">
        <f t="shared" si="57"/>
        <v>SC</v>
      </c>
      <c r="F438" t="s">
        <v>33</v>
      </c>
      <c r="G438" t="s">
        <v>30</v>
      </c>
      <c r="H438">
        <v>3385.2</v>
      </c>
      <c r="I438" t="str">
        <f>"Barnardos (Fostering &amp; Adoption)"</f>
        <v>Barnardos (Fostering &amp; Adoption)</v>
      </c>
      <c r="J438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439" spans="1:10" x14ac:dyDescent="0.35">
      <c r="A439" t="str">
        <f t="shared" si="62"/>
        <v>JUN</v>
      </c>
      <c r="B439" t="str">
        <f t="shared" si="55"/>
        <v>20</v>
      </c>
      <c r="C439" t="str">
        <f t="shared" si="56"/>
        <v>2020/21</v>
      </c>
      <c r="D439" t="str">
        <f>"SC PF 215478"</f>
        <v>SC PF 215478</v>
      </c>
      <c r="E439" t="str">
        <f t="shared" si="57"/>
        <v>SC</v>
      </c>
      <c r="F439" t="s">
        <v>33</v>
      </c>
      <c r="G439" t="s">
        <v>30</v>
      </c>
      <c r="H439">
        <v>3334.69</v>
      </c>
      <c r="I439" t="str">
        <f>"Barnardos (Fostering &amp; Adoption)"</f>
        <v>Barnardos (Fostering &amp; Adoption)</v>
      </c>
      <c r="J439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440" spans="1:10" x14ac:dyDescent="0.35">
      <c r="A440" t="str">
        <f t="shared" si="62"/>
        <v>JUN</v>
      </c>
      <c r="B440" t="str">
        <f t="shared" si="55"/>
        <v>20</v>
      </c>
      <c r="C440" t="str">
        <f t="shared" si="56"/>
        <v>2020/21</v>
      </c>
      <c r="D440" t="str">
        <f>"SC PF 215456"</f>
        <v>SC PF 215456</v>
      </c>
      <c r="E440" t="str">
        <f t="shared" si="57"/>
        <v>SC</v>
      </c>
      <c r="F440" t="s">
        <v>33</v>
      </c>
      <c r="G440" t="s">
        <v>30</v>
      </c>
      <c r="H440">
        <v>3625.2</v>
      </c>
      <c r="I440" t="str">
        <f>"Barnardos (Fostering &amp; Adoption)"</f>
        <v>Barnardos (Fostering &amp; Adoption)</v>
      </c>
      <c r="J440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441" spans="1:10" x14ac:dyDescent="0.35">
      <c r="A441" t="str">
        <f t="shared" si="62"/>
        <v>JUN</v>
      </c>
      <c r="B441" t="str">
        <f t="shared" si="55"/>
        <v>20</v>
      </c>
      <c r="C441" t="str">
        <f t="shared" si="56"/>
        <v>2020/21</v>
      </c>
      <c r="D441" t="str">
        <f>"SS PJ 114207"</f>
        <v>SS PJ 114207</v>
      </c>
      <c r="E441" t="str">
        <f t="shared" si="57"/>
        <v>SS</v>
      </c>
      <c r="F441" t="s">
        <v>25</v>
      </c>
      <c r="G441" t="s">
        <v>22</v>
      </c>
      <c r="H441">
        <v>250</v>
      </c>
      <c r="I441" t="str">
        <f>"Project Colt"</f>
        <v>Project Colt</v>
      </c>
      <c r="J441" t="str">
        <f>"Bearders Trust Payments Miscellaneous Expenses Supplies And Services Operational Management (Prevention And Early Help) Adult Health &amp; Social Ca"</f>
        <v>Bearders Trust Payments Miscellaneous Expenses Supplies And Services Operational Management (Prevention And Early Help) Adult Health &amp; Social Ca</v>
      </c>
    </row>
    <row r="442" spans="1:10" x14ac:dyDescent="0.35">
      <c r="A442" t="str">
        <f t="shared" si="62"/>
        <v>JUN</v>
      </c>
      <c r="B442" t="str">
        <f t="shared" si="55"/>
        <v>20</v>
      </c>
      <c r="C442" t="str">
        <f t="shared" si="56"/>
        <v>2020/21</v>
      </c>
      <c r="D442" t="str">
        <f>"SS CO 112753"</f>
        <v>SS CO 112753</v>
      </c>
      <c r="E442" t="str">
        <f t="shared" si="57"/>
        <v>SS</v>
      </c>
      <c r="F442" t="s">
        <v>25</v>
      </c>
      <c r="G442" t="s">
        <v>22</v>
      </c>
      <c r="H442">
        <v>26250</v>
      </c>
      <c r="I442" t="str">
        <f>"Calderdale Smartmove"</f>
        <v>Calderdale Smartmove</v>
      </c>
      <c r="J442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443" spans="1:10" x14ac:dyDescent="0.35">
      <c r="A443" t="str">
        <f t="shared" si="62"/>
        <v>JUN</v>
      </c>
      <c r="B443" t="str">
        <f t="shared" si="55"/>
        <v>20</v>
      </c>
      <c r="C443" t="str">
        <f t="shared" si="56"/>
        <v>2020/21</v>
      </c>
      <c r="D443" t="str">
        <f>"SS SL 114545"</f>
        <v>SS SL 114545</v>
      </c>
      <c r="E443" t="str">
        <f t="shared" si="57"/>
        <v>SS</v>
      </c>
      <c r="F443" t="s">
        <v>25</v>
      </c>
      <c r="G443" t="s">
        <v>22</v>
      </c>
      <c r="H443">
        <v>3676.7</v>
      </c>
      <c r="I443" t="str">
        <f>"Mencap Northern Division"</f>
        <v>Mencap Northern Division</v>
      </c>
      <c r="J443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444" spans="1:10" x14ac:dyDescent="0.35">
      <c r="A444" t="str">
        <f t="shared" si="62"/>
        <v>JUN</v>
      </c>
      <c r="B444" t="str">
        <f t="shared" si="55"/>
        <v>20</v>
      </c>
      <c r="C444" t="str">
        <f t="shared" si="56"/>
        <v>2020/21</v>
      </c>
      <c r="D444" t="str">
        <f>"SS SL 114545"</f>
        <v>SS SL 114545</v>
      </c>
      <c r="E444" t="str">
        <f t="shared" si="57"/>
        <v>SS</v>
      </c>
      <c r="F444" t="s">
        <v>25</v>
      </c>
      <c r="G444" t="s">
        <v>22</v>
      </c>
      <c r="H444">
        <v>5582.9</v>
      </c>
      <c r="I444" t="str">
        <f>"Mencap Northern Division"</f>
        <v>Mencap Northern Division</v>
      </c>
      <c r="J444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445" spans="1:10" x14ac:dyDescent="0.35">
      <c r="A445" t="str">
        <f t="shared" si="62"/>
        <v>JUN</v>
      </c>
      <c r="B445" t="str">
        <f t="shared" si="55"/>
        <v>20</v>
      </c>
      <c r="C445" t="str">
        <f t="shared" si="56"/>
        <v>2020/21</v>
      </c>
      <c r="D445" t="str">
        <f>"SS SL 113560"</f>
        <v>SS SL 113560</v>
      </c>
      <c r="E445" t="str">
        <f t="shared" si="57"/>
        <v>SS</v>
      </c>
      <c r="F445" t="s">
        <v>25</v>
      </c>
      <c r="G445" t="s">
        <v>22</v>
      </c>
      <c r="H445">
        <v>2639.96</v>
      </c>
      <c r="I445" t="str">
        <f>"Camphill Village Trust"</f>
        <v>Camphill Village Trust</v>
      </c>
      <c r="J445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446" spans="1:10" x14ac:dyDescent="0.35">
      <c r="A446" t="str">
        <f t="shared" si="62"/>
        <v>JUN</v>
      </c>
      <c r="B446" t="str">
        <f t="shared" si="55"/>
        <v>20</v>
      </c>
      <c r="C446" t="str">
        <f t="shared" si="56"/>
        <v>2020/21</v>
      </c>
      <c r="D446" t="str">
        <f>"SS SL 113560"</f>
        <v>SS SL 113560</v>
      </c>
      <c r="E446" t="str">
        <f t="shared" si="57"/>
        <v>SS</v>
      </c>
      <c r="F446" t="s">
        <v>25</v>
      </c>
      <c r="G446" t="s">
        <v>22</v>
      </c>
      <c r="H446">
        <v>2639.96</v>
      </c>
      <c r="I446" t="str">
        <f>"Camphill Village Trust"</f>
        <v>Camphill Village Trust</v>
      </c>
      <c r="J446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447" spans="1:10" x14ac:dyDescent="0.35">
      <c r="A447" t="str">
        <f t="shared" si="62"/>
        <v>JUN</v>
      </c>
      <c r="B447" t="str">
        <f t="shared" si="55"/>
        <v>20</v>
      </c>
      <c r="C447" t="str">
        <f t="shared" si="56"/>
        <v>2020/21</v>
      </c>
      <c r="D447" t="str">
        <f>"SS SL 113560"</f>
        <v>SS SL 113560</v>
      </c>
      <c r="E447" t="str">
        <f t="shared" si="57"/>
        <v>SS</v>
      </c>
      <c r="F447" t="s">
        <v>25</v>
      </c>
      <c r="G447" t="s">
        <v>22</v>
      </c>
      <c r="H447">
        <v>2639.96</v>
      </c>
      <c r="I447" t="str">
        <f>"Camphill Village Trust"</f>
        <v>Camphill Village Trust</v>
      </c>
      <c r="J447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448" spans="1:10" x14ac:dyDescent="0.35">
      <c r="A448" t="str">
        <f t="shared" si="62"/>
        <v>JUN</v>
      </c>
      <c r="B448" t="str">
        <f t="shared" si="55"/>
        <v>20</v>
      </c>
      <c r="C448" t="str">
        <f t="shared" si="56"/>
        <v>2020/21</v>
      </c>
      <c r="D448" t="str">
        <f>"SS SL 114548"</f>
        <v>SS SL 114548</v>
      </c>
      <c r="E448" t="str">
        <f t="shared" si="57"/>
        <v>SS</v>
      </c>
      <c r="F448" t="s">
        <v>25</v>
      </c>
      <c r="G448" t="s">
        <v>22</v>
      </c>
      <c r="H448">
        <v>8231.9</v>
      </c>
      <c r="I448" t="str">
        <f>"Possabilities CIC"</f>
        <v>Possabilities CIC</v>
      </c>
      <c r="J448" t="str">
        <f>"Vale Street (Possibilities) Voluntary Associations Agency And Contracted Services Supported Living Adult Health &amp; Social Care"</f>
        <v>Vale Street (Possibilities) Voluntary Associations Agency And Contracted Services Supported Living Adult Health &amp; Social Care</v>
      </c>
    </row>
    <row r="449" spans="1:10" x14ac:dyDescent="0.35">
      <c r="A449" t="str">
        <f t="shared" si="62"/>
        <v>JUN</v>
      </c>
      <c r="B449" t="str">
        <f t="shared" si="55"/>
        <v>20</v>
      </c>
      <c r="C449" t="str">
        <f t="shared" si="56"/>
        <v>2020/21</v>
      </c>
      <c r="D449" t="str">
        <f>"SS SL 114548"</f>
        <v>SS SL 114548</v>
      </c>
      <c r="E449" t="str">
        <f t="shared" si="57"/>
        <v>SS</v>
      </c>
      <c r="F449" t="s">
        <v>25</v>
      </c>
      <c r="G449" t="s">
        <v>22</v>
      </c>
      <c r="H449">
        <v>6285.4</v>
      </c>
      <c r="I449" t="str">
        <f>"Possabilities CIC"</f>
        <v>Possabilities CIC</v>
      </c>
      <c r="J449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450" spans="1:10" x14ac:dyDescent="0.35">
      <c r="A450" t="str">
        <f t="shared" si="62"/>
        <v>JUN</v>
      </c>
      <c r="B450" t="str">
        <f t="shared" ref="B450:B513" si="63">"20"</f>
        <v>20</v>
      </c>
      <c r="C450" t="str">
        <f t="shared" ref="C450:C513" si="64">"2020/21"</f>
        <v>2020/21</v>
      </c>
      <c r="D450" t="str">
        <f>"SS SL 114548"</f>
        <v>SS SL 114548</v>
      </c>
      <c r="E450" t="str">
        <f t="shared" ref="E450:E513" si="65">LEFT(D450,2)</f>
        <v>SS</v>
      </c>
      <c r="F450" t="s">
        <v>25</v>
      </c>
      <c r="G450" t="s">
        <v>22</v>
      </c>
      <c r="H450">
        <v>8438</v>
      </c>
      <c r="I450" t="str">
        <f>"Possabilities CIC"</f>
        <v>Possabilities CIC</v>
      </c>
      <c r="J450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451" spans="1:10" x14ac:dyDescent="0.35">
      <c r="A451" t="str">
        <f t="shared" si="62"/>
        <v>JUN</v>
      </c>
      <c r="B451" t="str">
        <f t="shared" si="63"/>
        <v>20</v>
      </c>
      <c r="C451" t="str">
        <f t="shared" si="64"/>
        <v>2020/21</v>
      </c>
      <c r="D451" t="str">
        <f>"SS SL 114110"</f>
        <v>SS SL 114110</v>
      </c>
      <c r="E451" t="str">
        <f t="shared" si="65"/>
        <v>SS</v>
      </c>
      <c r="F451" t="s">
        <v>25</v>
      </c>
      <c r="G451" t="s">
        <v>22</v>
      </c>
      <c r="H451">
        <v>2213.48</v>
      </c>
      <c r="I451" t="str">
        <f>"Turning Point Scotland Services"</f>
        <v>Turning Point Scotland Services</v>
      </c>
      <c r="J451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452" spans="1:10" x14ac:dyDescent="0.35">
      <c r="A452" t="str">
        <f t="shared" si="62"/>
        <v>JUN</v>
      </c>
      <c r="B452" t="str">
        <f t="shared" si="63"/>
        <v>20</v>
      </c>
      <c r="C452" t="str">
        <f t="shared" si="64"/>
        <v>2020/21</v>
      </c>
      <c r="D452" t="str">
        <f>"SS SL 114544"</f>
        <v>SS SL 114544</v>
      </c>
      <c r="E452" t="str">
        <f t="shared" si="65"/>
        <v>SS</v>
      </c>
      <c r="F452" t="s">
        <v>25</v>
      </c>
      <c r="G452" t="s">
        <v>22</v>
      </c>
      <c r="H452">
        <v>8894.6</v>
      </c>
      <c r="I452" t="str">
        <f>"The Mayfield Trust"</f>
        <v>The Mayfield Trust</v>
      </c>
      <c r="J452" t="str">
        <f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453" spans="1:10" x14ac:dyDescent="0.35">
      <c r="A453" t="str">
        <f t="shared" si="62"/>
        <v>JUN</v>
      </c>
      <c r="B453" t="str">
        <f t="shared" si="63"/>
        <v>20</v>
      </c>
      <c r="C453" t="str">
        <f t="shared" si="64"/>
        <v>2020/21</v>
      </c>
      <c r="D453" t="str">
        <f>"SS SL 114533"</f>
        <v>SS SL 114533</v>
      </c>
      <c r="E453" t="str">
        <f t="shared" si="65"/>
        <v>SS</v>
      </c>
      <c r="F453" t="s">
        <v>25</v>
      </c>
      <c r="G453" t="s">
        <v>22</v>
      </c>
      <c r="H453">
        <v>11586.8</v>
      </c>
      <c r="I453" t="str">
        <f>"Creative Support Ltd"</f>
        <v>Creative Support Ltd</v>
      </c>
      <c r="J453" t="str">
        <f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454" spans="1:10" x14ac:dyDescent="0.35">
      <c r="A454" t="str">
        <f t="shared" si="62"/>
        <v>JUN</v>
      </c>
      <c r="B454" t="str">
        <f t="shared" si="63"/>
        <v>20</v>
      </c>
      <c r="C454" t="str">
        <f t="shared" si="64"/>
        <v>2020/21</v>
      </c>
      <c r="D454" t="str">
        <f>"SS SL 114533"</f>
        <v>SS SL 114533</v>
      </c>
      <c r="E454" t="str">
        <f t="shared" si="65"/>
        <v>SS</v>
      </c>
      <c r="F454" t="s">
        <v>25</v>
      </c>
      <c r="G454" t="s">
        <v>22</v>
      </c>
      <c r="H454">
        <v>7417.2</v>
      </c>
      <c r="I454" t="str">
        <f>"Creative Support Ltd"</f>
        <v>Creative Support Ltd</v>
      </c>
      <c r="J454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455" spans="1:10" x14ac:dyDescent="0.35">
      <c r="A455" t="str">
        <f t="shared" si="62"/>
        <v>JUN</v>
      </c>
      <c r="B455" t="str">
        <f t="shared" si="63"/>
        <v>20</v>
      </c>
      <c r="C455" t="str">
        <f t="shared" si="64"/>
        <v>2020/21</v>
      </c>
      <c r="D455" t="str">
        <f>"SS SL 114547"</f>
        <v>SS SL 114547</v>
      </c>
      <c r="E455" t="str">
        <f t="shared" si="65"/>
        <v>SS</v>
      </c>
      <c r="F455" t="s">
        <v>25</v>
      </c>
      <c r="G455" t="s">
        <v>22</v>
      </c>
      <c r="H455">
        <v>6598.82</v>
      </c>
      <c r="I455" t="str">
        <f>"Future Directions CIC"</f>
        <v>Future Directions CIC</v>
      </c>
      <c r="J455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456" spans="1:10" x14ac:dyDescent="0.35">
      <c r="A456" t="str">
        <f t="shared" si="62"/>
        <v>JUN</v>
      </c>
      <c r="B456" t="str">
        <f t="shared" si="63"/>
        <v>20</v>
      </c>
      <c r="C456" t="str">
        <f t="shared" si="64"/>
        <v>2020/21</v>
      </c>
      <c r="D456" t="str">
        <f>"SS SL 114547"</f>
        <v>SS SL 114547</v>
      </c>
      <c r="E456" t="str">
        <f t="shared" si="65"/>
        <v>SS</v>
      </c>
      <c r="F456" t="s">
        <v>25</v>
      </c>
      <c r="G456" t="s">
        <v>22</v>
      </c>
      <c r="H456">
        <v>7168.2</v>
      </c>
      <c r="I456" t="str">
        <f>"Future Directions CIC"</f>
        <v>Future Directions CIC</v>
      </c>
      <c r="J456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457" spans="1:10" x14ac:dyDescent="0.35">
      <c r="A457" t="str">
        <f t="shared" si="62"/>
        <v>JUN</v>
      </c>
      <c r="B457" t="str">
        <f t="shared" si="63"/>
        <v>20</v>
      </c>
      <c r="C457" t="str">
        <f t="shared" si="64"/>
        <v>2020/21</v>
      </c>
      <c r="D457" t="str">
        <f>"SS SL 114547"</f>
        <v>SS SL 114547</v>
      </c>
      <c r="E457" t="str">
        <f t="shared" si="65"/>
        <v>SS</v>
      </c>
      <c r="F457" t="s">
        <v>25</v>
      </c>
      <c r="G457" t="s">
        <v>22</v>
      </c>
      <c r="H457">
        <v>2110.86</v>
      </c>
      <c r="I457" t="str">
        <f>"Future Directions CIC"</f>
        <v>Future Directions CIC</v>
      </c>
      <c r="J457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458" spans="1:10" x14ac:dyDescent="0.35">
      <c r="A458" t="str">
        <f t="shared" si="62"/>
        <v>JUN</v>
      </c>
      <c r="B458" t="str">
        <f t="shared" si="63"/>
        <v>20</v>
      </c>
      <c r="C458" t="str">
        <f t="shared" si="64"/>
        <v>2020/21</v>
      </c>
      <c r="D458" t="str">
        <f>"SS SL 114544"</f>
        <v>SS SL 114544</v>
      </c>
      <c r="E458" t="str">
        <f t="shared" si="65"/>
        <v>SS</v>
      </c>
      <c r="F458" t="s">
        <v>25</v>
      </c>
      <c r="G458" t="s">
        <v>22</v>
      </c>
      <c r="H458">
        <v>11205</v>
      </c>
      <c r="I458" t="str">
        <f>"The Mayfield Trust"</f>
        <v>The Mayfield Trust</v>
      </c>
      <c r="J458" t="str">
        <f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459" spans="1:10" x14ac:dyDescent="0.35">
      <c r="A459" t="str">
        <f t="shared" si="62"/>
        <v>JUN</v>
      </c>
      <c r="B459" t="str">
        <f t="shared" si="63"/>
        <v>20</v>
      </c>
      <c r="C459" t="str">
        <f t="shared" si="64"/>
        <v>2020/21</v>
      </c>
      <c r="D459" t="str">
        <f t="shared" ref="D459:D464" si="66">"SS SL 114533"</f>
        <v>SS SL 114533</v>
      </c>
      <c r="E459" t="str">
        <f t="shared" si="65"/>
        <v>SS</v>
      </c>
      <c r="F459" t="s">
        <v>25</v>
      </c>
      <c r="G459" t="s">
        <v>22</v>
      </c>
      <c r="H459">
        <v>8745.2000000000007</v>
      </c>
      <c r="I459" t="str">
        <f t="shared" ref="I459:I464" si="67">"Creative Support Ltd"</f>
        <v>Creative Support Ltd</v>
      </c>
      <c r="J459" t="str">
        <f>"42 Church Lane (Creative Support) Private Contractors Agency And Contracted Services Supported Living Adult Health &amp; Social Care"</f>
        <v>42 Church Lane (Creative Support) Private Contractors Agency And Contracted Services Supported Living Adult Health &amp; Social Care</v>
      </c>
    </row>
    <row r="460" spans="1:10" x14ac:dyDescent="0.35">
      <c r="A460" t="str">
        <f t="shared" si="62"/>
        <v>JUN</v>
      </c>
      <c r="B460" t="str">
        <f t="shared" si="63"/>
        <v>20</v>
      </c>
      <c r="C460" t="str">
        <f t="shared" si="64"/>
        <v>2020/21</v>
      </c>
      <c r="D460" t="str">
        <f t="shared" si="66"/>
        <v>SS SL 114533</v>
      </c>
      <c r="E460" t="str">
        <f t="shared" si="65"/>
        <v>SS</v>
      </c>
      <c r="F460" t="s">
        <v>25</v>
      </c>
      <c r="G460" t="s">
        <v>22</v>
      </c>
      <c r="H460">
        <v>5890</v>
      </c>
      <c r="I460" t="str">
        <f t="shared" si="67"/>
        <v>Creative Support Ltd</v>
      </c>
      <c r="J460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461" spans="1:10" x14ac:dyDescent="0.35">
      <c r="A461" t="str">
        <f t="shared" si="62"/>
        <v>JUN</v>
      </c>
      <c r="B461" t="str">
        <f t="shared" si="63"/>
        <v>20</v>
      </c>
      <c r="C461" t="str">
        <f t="shared" si="64"/>
        <v>2020/21</v>
      </c>
      <c r="D461" t="str">
        <f t="shared" si="66"/>
        <v>SS SL 114533</v>
      </c>
      <c r="E461" t="str">
        <f t="shared" si="65"/>
        <v>SS</v>
      </c>
      <c r="F461" t="s">
        <v>25</v>
      </c>
      <c r="G461" t="s">
        <v>22</v>
      </c>
      <c r="H461">
        <v>8081.2</v>
      </c>
      <c r="I461" t="str">
        <f t="shared" si="67"/>
        <v>Creative Support Ltd</v>
      </c>
      <c r="J461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462" spans="1:10" x14ac:dyDescent="0.35">
      <c r="A462" t="str">
        <f t="shared" si="62"/>
        <v>JUN</v>
      </c>
      <c r="B462" t="str">
        <f t="shared" si="63"/>
        <v>20</v>
      </c>
      <c r="C462" t="str">
        <f t="shared" si="64"/>
        <v>2020/21</v>
      </c>
      <c r="D462" t="str">
        <f t="shared" si="66"/>
        <v>SS SL 114533</v>
      </c>
      <c r="E462" t="str">
        <f t="shared" si="65"/>
        <v>SS</v>
      </c>
      <c r="F462" t="s">
        <v>25</v>
      </c>
      <c r="G462" t="s">
        <v>22</v>
      </c>
      <c r="H462">
        <v>6537.4</v>
      </c>
      <c r="I462" t="str">
        <f t="shared" si="67"/>
        <v>Creative Support Ltd</v>
      </c>
      <c r="J462" t="str">
        <f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463" spans="1:10" x14ac:dyDescent="0.35">
      <c r="A463" t="str">
        <f t="shared" si="62"/>
        <v>JUN</v>
      </c>
      <c r="B463" t="str">
        <f t="shared" si="63"/>
        <v>20</v>
      </c>
      <c r="C463" t="str">
        <f t="shared" si="64"/>
        <v>2020/21</v>
      </c>
      <c r="D463" t="str">
        <f t="shared" si="66"/>
        <v>SS SL 114533</v>
      </c>
      <c r="E463" t="str">
        <f t="shared" si="65"/>
        <v>SS</v>
      </c>
      <c r="F463" t="s">
        <v>25</v>
      </c>
      <c r="G463" t="s">
        <v>22</v>
      </c>
      <c r="H463">
        <v>7749.2</v>
      </c>
      <c r="I463" t="str">
        <f t="shared" si="67"/>
        <v>Creative Support Ltd</v>
      </c>
      <c r="J463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464" spans="1:10" x14ac:dyDescent="0.35">
      <c r="A464" t="str">
        <f t="shared" si="62"/>
        <v>JUN</v>
      </c>
      <c r="B464" t="str">
        <f t="shared" si="63"/>
        <v>20</v>
      </c>
      <c r="C464" t="str">
        <f t="shared" si="64"/>
        <v>2020/21</v>
      </c>
      <c r="D464" t="str">
        <f t="shared" si="66"/>
        <v>SS SL 114533</v>
      </c>
      <c r="E464" t="str">
        <f t="shared" si="65"/>
        <v>SS</v>
      </c>
      <c r="F464" t="s">
        <v>25</v>
      </c>
      <c r="G464" t="s">
        <v>22</v>
      </c>
      <c r="H464">
        <v>7126.7</v>
      </c>
      <c r="I464" t="str">
        <f t="shared" si="67"/>
        <v>Creative Support Ltd</v>
      </c>
      <c r="J464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465" spans="1:10" x14ac:dyDescent="0.35">
      <c r="A465" t="str">
        <f t="shared" si="62"/>
        <v>JUN</v>
      </c>
      <c r="B465" t="str">
        <f t="shared" si="63"/>
        <v>20</v>
      </c>
      <c r="C465" t="str">
        <f t="shared" si="64"/>
        <v>2020/21</v>
      </c>
      <c r="D465" t="str">
        <f>"SS SL 113638"</f>
        <v>SS SL 113638</v>
      </c>
      <c r="E465" t="str">
        <f t="shared" si="65"/>
        <v>SS</v>
      </c>
      <c r="F465" t="s">
        <v>25</v>
      </c>
      <c r="G465" t="s">
        <v>22</v>
      </c>
      <c r="H465">
        <v>4849.76</v>
      </c>
      <c r="I465" t="str">
        <f>"Autism Plus Ltd"</f>
        <v>Autism Plus Ltd</v>
      </c>
      <c r="J465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466" spans="1:10" x14ac:dyDescent="0.35">
      <c r="A466" t="str">
        <f t="shared" si="62"/>
        <v>JUN</v>
      </c>
      <c r="B466" t="str">
        <f t="shared" si="63"/>
        <v>20</v>
      </c>
      <c r="C466" t="str">
        <f t="shared" si="64"/>
        <v>2020/21</v>
      </c>
      <c r="D466" t="str">
        <f>"SS SL 114533"</f>
        <v>SS SL 114533</v>
      </c>
      <c r="E466" t="str">
        <f t="shared" si="65"/>
        <v>SS</v>
      </c>
      <c r="F466" t="s">
        <v>25</v>
      </c>
      <c r="G466" t="s">
        <v>22</v>
      </c>
      <c r="H466">
        <v>9908.76</v>
      </c>
      <c r="I466" t="str">
        <f>"Creative Support Ltd"</f>
        <v>Creative Support Ltd</v>
      </c>
      <c r="J466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467" spans="1:10" x14ac:dyDescent="0.35">
      <c r="A467" t="str">
        <f t="shared" si="62"/>
        <v>JUN</v>
      </c>
      <c r="B467" t="str">
        <f t="shared" si="63"/>
        <v>20</v>
      </c>
      <c r="C467" t="str">
        <f t="shared" si="64"/>
        <v>2020/21</v>
      </c>
      <c r="D467" t="str">
        <f>"SS SL 114544"</f>
        <v>SS SL 114544</v>
      </c>
      <c r="E467" t="str">
        <f t="shared" si="65"/>
        <v>SS</v>
      </c>
      <c r="F467" t="s">
        <v>25</v>
      </c>
      <c r="G467" t="s">
        <v>22</v>
      </c>
      <c r="H467">
        <v>15984.34</v>
      </c>
      <c r="I467" t="str">
        <f>"The Mayfield Trust"</f>
        <v>The Mayfield Trust</v>
      </c>
      <c r="J467" t="str">
        <f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468" spans="1:10" x14ac:dyDescent="0.35">
      <c r="A468" t="str">
        <f t="shared" ref="A468:A499" si="68">"JUN"</f>
        <v>JUN</v>
      </c>
      <c r="B468" t="str">
        <f t="shared" si="63"/>
        <v>20</v>
      </c>
      <c r="C468" t="str">
        <f t="shared" si="64"/>
        <v>2020/21</v>
      </c>
      <c r="D468" t="str">
        <f>"SS SL 114502"</f>
        <v>SS SL 114502</v>
      </c>
      <c r="E468" t="str">
        <f t="shared" si="65"/>
        <v>SS</v>
      </c>
      <c r="F468" t="s">
        <v>25</v>
      </c>
      <c r="G468" t="s">
        <v>22</v>
      </c>
      <c r="H468">
        <v>4333.7700000000004</v>
      </c>
      <c r="I468" t="str">
        <f>"The Mayfield Trust"</f>
        <v>The Mayfield Trust</v>
      </c>
      <c r="J468" t="str">
        <f t="shared" ref="J468:J486" si="69">"Infection Control Fund Payment - Round 1 Private Contractors Agency And Contracted Services Supported Living Adult Health &amp; Social Care"</f>
        <v>Infection Control Fund Payment - Round 1 Private Contractors Agency And Contracted Services Supported Living Adult Health &amp; Social Care</v>
      </c>
    </row>
    <row r="469" spans="1:10" x14ac:dyDescent="0.35">
      <c r="A469" t="str">
        <f t="shared" si="68"/>
        <v>JUN</v>
      </c>
      <c r="B469" t="str">
        <f t="shared" si="63"/>
        <v>20</v>
      </c>
      <c r="C469" t="str">
        <f t="shared" si="64"/>
        <v>2020/21</v>
      </c>
      <c r="D469" t="str">
        <f>"SS SL 114502"</f>
        <v>SS SL 114502</v>
      </c>
      <c r="E469" t="str">
        <f t="shared" si="65"/>
        <v>SS</v>
      </c>
      <c r="F469" t="s">
        <v>25</v>
      </c>
      <c r="G469" t="s">
        <v>22</v>
      </c>
      <c r="H469">
        <v>2889.18</v>
      </c>
      <c r="I469" t="str">
        <f>"The Mayfield Trust"</f>
        <v>The Mayfield Trust</v>
      </c>
      <c r="J469" t="str">
        <f t="shared" si="69"/>
        <v>Infection Control Fund Payment - Round 1 Private Contractors Agency And Contracted Services Supported Living Adult Health &amp; Social Care</v>
      </c>
    </row>
    <row r="470" spans="1:10" x14ac:dyDescent="0.35">
      <c r="A470" t="str">
        <f t="shared" si="68"/>
        <v>JUN</v>
      </c>
      <c r="B470" t="str">
        <f t="shared" si="63"/>
        <v>20</v>
      </c>
      <c r="C470" t="str">
        <f t="shared" si="64"/>
        <v>2020/21</v>
      </c>
      <c r="D470" t="str">
        <f>"SS SL 114502"</f>
        <v>SS SL 114502</v>
      </c>
      <c r="E470" t="str">
        <f t="shared" si="65"/>
        <v>SS</v>
      </c>
      <c r="F470" t="s">
        <v>25</v>
      </c>
      <c r="G470" t="s">
        <v>22</v>
      </c>
      <c r="H470">
        <v>2889.18</v>
      </c>
      <c r="I470" t="str">
        <f>"The Mayfield Trust"</f>
        <v>The Mayfield Trust</v>
      </c>
      <c r="J470" t="str">
        <f t="shared" si="69"/>
        <v>Infection Control Fund Payment - Round 1 Private Contractors Agency And Contracted Services Supported Living Adult Health &amp; Social Care</v>
      </c>
    </row>
    <row r="471" spans="1:10" x14ac:dyDescent="0.35">
      <c r="A471" t="str">
        <f t="shared" si="68"/>
        <v>JUN</v>
      </c>
      <c r="B471" t="str">
        <f t="shared" si="63"/>
        <v>20</v>
      </c>
      <c r="C471" t="str">
        <f t="shared" si="64"/>
        <v>2020/21</v>
      </c>
      <c r="D471" t="str">
        <f t="shared" ref="D471:D480" si="70">"SS SL 114499"</f>
        <v>SS SL 114499</v>
      </c>
      <c r="E471" t="str">
        <f t="shared" si="65"/>
        <v>SS</v>
      </c>
      <c r="F471" t="s">
        <v>25</v>
      </c>
      <c r="G471" t="s">
        <v>22</v>
      </c>
      <c r="H471">
        <v>1926.12</v>
      </c>
      <c r="I471" t="str">
        <f t="shared" ref="I471:I480" si="71">"Creative Support Ltd"</f>
        <v>Creative Support Ltd</v>
      </c>
      <c r="J471" t="str">
        <f t="shared" si="69"/>
        <v>Infection Control Fund Payment - Round 1 Private Contractors Agency And Contracted Services Supported Living Adult Health &amp; Social Care</v>
      </c>
    </row>
    <row r="472" spans="1:10" x14ac:dyDescent="0.35">
      <c r="A472" t="str">
        <f t="shared" si="68"/>
        <v>JUN</v>
      </c>
      <c r="B472" t="str">
        <f t="shared" si="63"/>
        <v>20</v>
      </c>
      <c r="C472" t="str">
        <f t="shared" si="64"/>
        <v>2020/21</v>
      </c>
      <c r="D472" t="str">
        <f t="shared" si="70"/>
        <v>SS SL 114499</v>
      </c>
      <c r="E472" t="str">
        <f t="shared" si="65"/>
        <v>SS</v>
      </c>
      <c r="F472" t="s">
        <v>25</v>
      </c>
      <c r="G472" t="s">
        <v>22</v>
      </c>
      <c r="H472">
        <v>1444.59</v>
      </c>
      <c r="I472" t="str">
        <f t="shared" si="71"/>
        <v>Creative Support Ltd</v>
      </c>
      <c r="J472" t="str">
        <f t="shared" si="69"/>
        <v>Infection Control Fund Payment - Round 1 Private Contractors Agency And Contracted Services Supported Living Adult Health &amp; Social Care</v>
      </c>
    </row>
    <row r="473" spans="1:10" x14ac:dyDescent="0.35">
      <c r="A473" t="str">
        <f t="shared" si="68"/>
        <v>JUN</v>
      </c>
      <c r="B473" t="str">
        <f t="shared" si="63"/>
        <v>20</v>
      </c>
      <c r="C473" t="str">
        <f t="shared" si="64"/>
        <v>2020/21</v>
      </c>
      <c r="D473" t="str">
        <f t="shared" si="70"/>
        <v>SS SL 114499</v>
      </c>
      <c r="E473" t="str">
        <f t="shared" si="65"/>
        <v>SS</v>
      </c>
      <c r="F473" t="s">
        <v>25</v>
      </c>
      <c r="G473" t="s">
        <v>22</v>
      </c>
      <c r="H473">
        <v>2407.65</v>
      </c>
      <c r="I473" t="str">
        <f t="shared" si="71"/>
        <v>Creative Support Ltd</v>
      </c>
      <c r="J473" t="str">
        <f t="shared" si="69"/>
        <v>Infection Control Fund Payment - Round 1 Private Contractors Agency And Contracted Services Supported Living Adult Health &amp; Social Care</v>
      </c>
    </row>
    <row r="474" spans="1:10" x14ac:dyDescent="0.35">
      <c r="A474" t="str">
        <f t="shared" si="68"/>
        <v>JUN</v>
      </c>
      <c r="B474" t="str">
        <f t="shared" si="63"/>
        <v>20</v>
      </c>
      <c r="C474" t="str">
        <f t="shared" si="64"/>
        <v>2020/21</v>
      </c>
      <c r="D474" t="str">
        <f t="shared" si="70"/>
        <v>SS SL 114499</v>
      </c>
      <c r="E474" t="str">
        <f t="shared" si="65"/>
        <v>SS</v>
      </c>
      <c r="F474" t="s">
        <v>25</v>
      </c>
      <c r="G474" t="s">
        <v>22</v>
      </c>
      <c r="H474">
        <v>963.06</v>
      </c>
      <c r="I474" t="str">
        <f t="shared" si="71"/>
        <v>Creative Support Ltd</v>
      </c>
      <c r="J474" t="str">
        <f t="shared" si="69"/>
        <v>Infection Control Fund Payment - Round 1 Private Contractors Agency And Contracted Services Supported Living Adult Health &amp; Social Care</v>
      </c>
    </row>
    <row r="475" spans="1:10" x14ac:dyDescent="0.35">
      <c r="A475" t="str">
        <f t="shared" si="68"/>
        <v>JUN</v>
      </c>
      <c r="B475" t="str">
        <f t="shared" si="63"/>
        <v>20</v>
      </c>
      <c r="C475" t="str">
        <f t="shared" si="64"/>
        <v>2020/21</v>
      </c>
      <c r="D475" t="str">
        <f t="shared" si="70"/>
        <v>SS SL 114499</v>
      </c>
      <c r="E475" t="str">
        <f t="shared" si="65"/>
        <v>SS</v>
      </c>
      <c r="F475" t="s">
        <v>25</v>
      </c>
      <c r="G475" t="s">
        <v>22</v>
      </c>
      <c r="H475">
        <v>1926.12</v>
      </c>
      <c r="I475" t="str">
        <f t="shared" si="71"/>
        <v>Creative Support Ltd</v>
      </c>
      <c r="J475" t="str">
        <f t="shared" si="69"/>
        <v>Infection Control Fund Payment - Round 1 Private Contractors Agency And Contracted Services Supported Living Adult Health &amp; Social Care</v>
      </c>
    </row>
    <row r="476" spans="1:10" x14ac:dyDescent="0.35">
      <c r="A476" t="str">
        <f t="shared" si="68"/>
        <v>JUN</v>
      </c>
      <c r="B476" t="str">
        <f t="shared" si="63"/>
        <v>20</v>
      </c>
      <c r="C476" t="str">
        <f t="shared" si="64"/>
        <v>2020/21</v>
      </c>
      <c r="D476" t="str">
        <f t="shared" si="70"/>
        <v>SS SL 114499</v>
      </c>
      <c r="E476" t="str">
        <f t="shared" si="65"/>
        <v>SS</v>
      </c>
      <c r="F476" t="s">
        <v>25</v>
      </c>
      <c r="G476" t="s">
        <v>22</v>
      </c>
      <c r="H476">
        <v>2407.65</v>
      </c>
      <c r="I476" t="str">
        <f t="shared" si="71"/>
        <v>Creative Support Ltd</v>
      </c>
      <c r="J476" t="str">
        <f t="shared" si="69"/>
        <v>Infection Control Fund Payment - Round 1 Private Contractors Agency And Contracted Services Supported Living Adult Health &amp; Social Care</v>
      </c>
    </row>
    <row r="477" spans="1:10" x14ac:dyDescent="0.35">
      <c r="A477" t="str">
        <f t="shared" si="68"/>
        <v>JUN</v>
      </c>
      <c r="B477" t="str">
        <f t="shared" si="63"/>
        <v>20</v>
      </c>
      <c r="C477" t="str">
        <f t="shared" si="64"/>
        <v>2020/21</v>
      </c>
      <c r="D477" t="str">
        <f t="shared" si="70"/>
        <v>SS SL 114499</v>
      </c>
      <c r="E477" t="str">
        <f t="shared" si="65"/>
        <v>SS</v>
      </c>
      <c r="F477" t="s">
        <v>25</v>
      </c>
      <c r="G477" t="s">
        <v>22</v>
      </c>
      <c r="H477">
        <v>1926.12</v>
      </c>
      <c r="I477" t="str">
        <f t="shared" si="71"/>
        <v>Creative Support Ltd</v>
      </c>
      <c r="J477" t="str">
        <f t="shared" si="69"/>
        <v>Infection Control Fund Payment - Round 1 Private Contractors Agency And Contracted Services Supported Living Adult Health &amp; Social Care</v>
      </c>
    </row>
    <row r="478" spans="1:10" x14ac:dyDescent="0.35">
      <c r="A478" t="str">
        <f t="shared" si="68"/>
        <v>JUN</v>
      </c>
      <c r="B478" t="str">
        <f t="shared" si="63"/>
        <v>20</v>
      </c>
      <c r="C478" t="str">
        <f t="shared" si="64"/>
        <v>2020/21</v>
      </c>
      <c r="D478" t="str">
        <f t="shared" si="70"/>
        <v>SS SL 114499</v>
      </c>
      <c r="E478" t="str">
        <f t="shared" si="65"/>
        <v>SS</v>
      </c>
      <c r="F478" t="s">
        <v>25</v>
      </c>
      <c r="G478" t="s">
        <v>22</v>
      </c>
      <c r="H478">
        <v>1444.59</v>
      </c>
      <c r="I478" t="str">
        <f t="shared" si="71"/>
        <v>Creative Support Ltd</v>
      </c>
      <c r="J478" t="str">
        <f t="shared" si="69"/>
        <v>Infection Control Fund Payment - Round 1 Private Contractors Agency And Contracted Services Supported Living Adult Health &amp; Social Care</v>
      </c>
    </row>
    <row r="479" spans="1:10" x14ac:dyDescent="0.35">
      <c r="A479" t="str">
        <f t="shared" si="68"/>
        <v>JUN</v>
      </c>
      <c r="B479" t="str">
        <f t="shared" si="63"/>
        <v>20</v>
      </c>
      <c r="C479" t="str">
        <f t="shared" si="64"/>
        <v>2020/21</v>
      </c>
      <c r="D479" t="str">
        <f t="shared" si="70"/>
        <v>SS SL 114499</v>
      </c>
      <c r="E479" t="str">
        <f t="shared" si="65"/>
        <v>SS</v>
      </c>
      <c r="F479" t="s">
        <v>25</v>
      </c>
      <c r="G479" t="s">
        <v>22</v>
      </c>
      <c r="H479">
        <v>3852.24</v>
      </c>
      <c r="I479" t="str">
        <f t="shared" si="71"/>
        <v>Creative Support Ltd</v>
      </c>
      <c r="J479" t="str">
        <f t="shared" si="69"/>
        <v>Infection Control Fund Payment - Round 1 Private Contractors Agency And Contracted Services Supported Living Adult Health &amp; Social Care</v>
      </c>
    </row>
    <row r="480" spans="1:10" x14ac:dyDescent="0.35">
      <c r="A480" t="str">
        <f t="shared" si="68"/>
        <v>JUN</v>
      </c>
      <c r="B480" t="str">
        <f t="shared" si="63"/>
        <v>20</v>
      </c>
      <c r="C480" t="str">
        <f t="shared" si="64"/>
        <v>2020/21</v>
      </c>
      <c r="D480" t="str">
        <f t="shared" si="70"/>
        <v>SS SL 114499</v>
      </c>
      <c r="E480" t="str">
        <f t="shared" si="65"/>
        <v>SS</v>
      </c>
      <c r="F480" t="s">
        <v>25</v>
      </c>
      <c r="G480" t="s">
        <v>22</v>
      </c>
      <c r="H480">
        <v>1926.12</v>
      </c>
      <c r="I480" t="str">
        <f t="shared" si="71"/>
        <v>Creative Support Ltd</v>
      </c>
      <c r="J480" t="str">
        <f t="shared" si="69"/>
        <v>Infection Control Fund Payment - Round 1 Private Contractors Agency And Contracted Services Supported Living Adult Health &amp; Social Care</v>
      </c>
    </row>
    <row r="481" spans="1:10" x14ac:dyDescent="0.35">
      <c r="A481" t="str">
        <f t="shared" si="68"/>
        <v>JUN</v>
      </c>
      <c r="B481" t="str">
        <f t="shared" si="63"/>
        <v>20</v>
      </c>
      <c r="C481" t="str">
        <f t="shared" si="64"/>
        <v>2020/21</v>
      </c>
      <c r="D481" t="str">
        <f>"SS SL 114498"</f>
        <v>SS SL 114498</v>
      </c>
      <c r="E481" t="str">
        <f t="shared" si="65"/>
        <v>SS</v>
      </c>
      <c r="F481" t="s">
        <v>25</v>
      </c>
      <c r="G481" t="s">
        <v>22</v>
      </c>
      <c r="H481">
        <v>6741.42</v>
      </c>
      <c r="I481" t="str">
        <f>"Future Directions CIC"</f>
        <v>Future Directions CIC</v>
      </c>
      <c r="J481" t="str">
        <f t="shared" si="69"/>
        <v>Infection Control Fund Payment - Round 1 Private Contractors Agency And Contracted Services Supported Living Adult Health &amp; Social Care</v>
      </c>
    </row>
    <row r="482" spans="1:10" x14ac:dyDescent="0.35">
      <c r="A482" t="str">
        <f t="shared" si="68"/>
        <v>JUN</v>
      </c>
      <c r="B482" t="str">
        <f t="shared" si="63"/>
        <v>20</v>
      </c>
      <c r="C482" t="str">
        <f t="shared" si="64"/>
        <v>2020/21</v>
      </c>
      <c r="D482" t="str">
        <f>"SS SL 114489"</f>
        <v>SS SL 114489</v>
      </c>
      <c r="E482" t="str">
        <f t="shared" si="65"/>
        <v>SS</v>
      </c>
      <c r="F482" t="s">
        <v>25</v>
      </c>
      <c r="G482" t="s">
        <v>22</v>
      </c>
      <c r="H482">
        <v>1926.12</v>
      </c>
      <c r="I482" t="str">
        <f>"Mencap Northern Division"</f>
        <v>Mencap Northern Division</v>
      </c>
      <c r="J482" t="str">
        <f t="shared" si="69"/>
        <v>Infection Control Fund Payment - Round 1 Private Contractors Agency And Contracted Services Supported Living Adult Health &amp; Social Care</v>
      </c>
    </row>
    <row r="483" spans="1:10" x14ac:dyDescent="0.35">
      <c r="A483" t="str">
        <f t="shared" si="68"/>
        <v>JUN</v>
      </c>
      <c r="B483" t="str">
        <f t="shared" si="63"/>
        <v>20</v>
      </c>
      <c r="C483" t="str">
        <f t="shared" si="64"/>
        <v>2020/21</v>
      </c>
      <c r="D483" t="str">
        <f>"SS SL 114489"</f>
        <v>SS SL 114489</v>
      </c>
      <c r="E483" t="str">
        <f t="shared" si="65"/>
        <v>SS</v>
      </c>
      <c r="F483" t="s">
        <v>25</v>
      </c>
      <c r="G483" t="s">
        <v>22</v>
      </c>
      <c r="H483">
        <v>963.06</v>
      </c>
      <c r="I483" t="str">
        <f>"Mencap Northern Division"</f>
        <v>Mencap Northern Division</v>
      </c>
      <c r="J483" t="str">
        <f t="shared" si="69"/>
        <v>Infection Control Fund Payment - Round 1 Private Contractors Agency And Contracted Services Supported Living Adult Health &amp; Social Care</v>
      </c>
    </row>
    <row r="484" spans="1:10" x14ac:dyDescent="0.35">
      <c r="A484" t="str">
        <f t="shared" si="68"/>
        <v>JUN</v>
      </c>
      <c r="B484" t="str">
        <f t="shared" si="63"/>
        <v>20</v>
      </c>
      <c r="C484" t="str">
        <f t="shared" si="64"/>
        <v>2020/21</v>
      </c>
      <c r="D484" t="str">
        <f>"SS SL 114492"</f>
        <v>SS SL 114492</v>
      </c>
      <c r="E484" t="str">
        <f t="shared" si="65"/>
        <v>SS</v>
      </c>
      <c r="F484" t="s">
        <v>25</v>
      </c>
      <c r="G484" t="s">
        <v>22</v>
      </c>
      <c r="H484">
        <v>2407.65</v>
      </c>
      <c r="I484" t="str">
        <f>"Possabilities CIC"</f>
        <v>Possabilities CIC</v>
      </c>
      <c r="J484" t="str">
        <f t="shared" si="69"/>
        <v>Infection Control Fund Payment - Round 1 Private Contractors Agency And Contracted Services Supported Living Adult Health &amp; Social Care</v>
      </c>
    </row>
    <row r="485" spans="1:10" x14ac:dyDescent="0.35">
      <c r="A485" t="str">
        <f t="shared" si="68"/>
        <v>JUN</v>
      </c>
      <c r="B485" t="str">
        <f t="shared" si="63"/>
        <v>20</v>
      </c>
      <c r="C485" t="str">
        <f t="shared" si="64"/>
        <v>2020/21</v>
      </c>
      <c r="D485" t="str">
        <f>"SS SL 114492"</f>
        <v>SS SL 114492</v>
      </c>
      <c r="E485" t="str">
        <f t="shared" si="65"/>
        <v>SS</v>
      </c>
      <c r="F485" t="s">
        <v>25</v>
      </c>
      <c r="G485" t="s">
        <v>22</v>
      </c>
      <c r="H485">
        <v>963.06</v>
      </c>
      <c r="I485" t="str">
        <f>"Possabilities CIC"</f>
        <v>Possabilities CIC</v>
      </c>
      <c r="J485" t="str">
        <f t="shared" si="69"/>
        <v>Infection Control Fund Payment - Round 1 Private Contractors Agency And Contracted Services Supported Living Adult Health &amp; Social Care</v>
      </c>
    </row>
    <row r="486" spans="1:10" x14ac:dyDescent="0.35">
      <c r="A486" t="str">
        <f t="shared" si="68"/>
        <v>JUN</v>
      </c>
      <c r="B486" t="str">
        <f t="shared" si="63"/>
        <v>20</v>
      </c>
      <c r="C486" t="str">
        <f t="shared" si="64"/>
        <v>2020/21</v>
      </c>
      <c r="D486" t="str">
        <f>"SS SL 114492"</f>
        <v>SS SL 114492</v>
      </c>
      <c r="E486" t="str">
        <f t="shared" si="65"/>
        <v>SS</v>
      </c>
      <c r="F486" t="s">
        <v>25</v>
      </c>
      <c r="G486" t="s">
        <v>22</v>
      </c>
      <c r="H486">
        <v>1926.12</v>
      </c>
      <c r="I486" t="str">
        <f>"Possabilities CIC"</f>
        <v>Possabilities CIC</v>
      </c>
      <c r="J486" t="str">
        <f t="shared" si="69"/>
        <v>Infection Control Fund Payment - Round 1 Private Contractors Agency And Contracted Services Supported Living Adult Health &amp; Social Care</v>
      </c>
    </row>
    <row r="487" spans="1:10" x14ac:dyDescent="0.35">
      <c r="A487" t="str">
        <f t="shared" si="68"/>
        <v>JUN</v>
      </c>
      <c r="B487" t="str">
        <f t="shared" si="63"/>
        <v>20</v>
      </c>
      <c r="C487" t="str">
        <f t="shared" si="64"/>
        <v>2020/21</v>
      </c>
      <c r="D487" t="str">
        <f>"SS CO 114195"</f>
        <v>SS CO 114195</v>
      </c>
      <c r="E487" t="str">
        <f t="shared" si="65"/>
        <v>SS</v>
      </c>
      <c r="F487" t="s">
        <v>25</v>
      </c>
      <c r="G487" t="s">
        <v>22</v>
      </c>
      <c r="H487">
        <v>2458.33</v>
      </c>
      <c r="I487" t="str">
        <f>"Our Place"</f>
        <v>Our Place</v>
      </c>
      <c r="J487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488" spans="1:10" x14ac:dyDescent="0.35">
      <c r="A488" t="str">
        <f t="shared" si="68"/>
        <v>JUN</v>
      </c>
      <c r="B488" t="str">
        <f t="shared" si="63"/>
        <v>20</v>
      </c>
      <c r="C488" t="str">
        <f t="shared" si="64"/>
        <v>2020/21</v>
      </c>
      <c r="D488" t="str">
        <f>"SS CO 114195"</f>
        <v>SS CO 114195</v>
      </c>
      <c r="E488" t="str">
        <f t="shared" si="65"/>
        <v>SS</v>
      </c>
      <c r="F488" t="s">
        <v>25</v>
      </c>
      <c r="G488" t="s">
        <v>22</v>
      </c>
      <c r="H488">
        <v>2458.33</v>
      </c>
      <c r="I488" t="str">
        <f>"Our Place"</f>
        <v>Our Place</v>
      </c>
      <c r="J488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489" spans="1:10" x14ac:dyDescent="0.35">
      <c r="A489" t="str">
        <f t="shared" si="68"/>
        <v>JUN</v>
      </c>
      <c r="B489" t="str">
        <f t="shared" si="63"/>
        <v>20</v>
      </c>
      <c r="C489" t="str">
        <f t="shared" si="64"/>
        <v>2020/21</v>
      </c>
      <c r="D489" t="str">
        <f>"SS LD 113194"</f>
        <v>SS LD 113194</v>
      </c>
      <c r="E489" t="str">
        <f t="shared" si="65"/>
        <v>SS</v>
      </c>
      <c r="F489" t="s">
        <v>25</v>
      </c>
      <c r="G489" t="s">
        <v>22</v>
      </c>
      <c r="H489">
        <v>60000</v>
      </c>
      <c r="I489" t="str">
        <f>"Calderdale Carers Project"</f>
        <v>Calderdale Carers Project</v>
      </c>
      <c r="J489" t="str">
        <f>"Calderdale Carers Project SLA (BCF) Voluntary Associations Agency And Contracted Services Carers Support Adult Health &amp; Social Care"</f>
        <v>Calderdale Carers Project SLA (BCF) Voluntary Associations Agency And Contracted Services Carers Support Adult Health &amp; Social Care</v>
      </c>
    </row>
    <row r="490" spans="1:10" x14ac:dyDescent="0.35">
      <c r="A490" t="str">
        <f t="shared" si="68"/>
        <v>JUN</v>
      </c>
      <c r="B490" t="str">
        <f t="shared" si="63"/>
        <v>20</v>
      </c>
      <c r="C490" t="str">
        <f t="shared" si="64"/>
        <v>2020/21</v>
      </c>
      <c r="D490" t="str">
        <f>"SS AD 114275"</f>
        <v>SS AD 114275</v>
      </c>
      <c r="E490" t="str">
        <f t="shared" si="65"/>
        <v>SS</v>
      </c>
      <c r="F490" t="s">
        <v>25</v>
      </c>
      <c r="G490" t="s">
        <v>22</v>
      </c>
      <c r="H490">
        <v>21187.29</v>
      </c>
      <c r="I490" t="str">
        <f t="shared" ref="I490:I495" si="72">"Anchor Trust"</f>
        <v>Anchor Trust</v>
      </c>
      <c r="J490" t="str">
        <f>"DoH COVID-19 Infection Control Grant - Round 1 Private Contractors Agency And Contracted Services Residential &amp; Nursing Placements (Older People"</f>
        <v>DoH COVID-19 Infection Control Grant - Round 1 Private Contractors Agency And Contracted Services Residential &amp; Nursing Placements (Older People</v>
      </c>
    </row>
    <row r="491" spans="1:10" x14ac:dyDescent="0.35">
      <c r="A491" t="str">
        <f t="shared" si="68"/>
        <v>JUN</v>
      </c>
      <c r="B491" t="str">
        <f t="shared" si="63"/>
        <v>20</v>
      </c>
      <c r="C491" t="str">
        <f t="shared" si="64"/>
        <v>2020/21</v>
      </c>
      <c r="D491" t="str">
        <f>"SS AD 114280"</f>
        <v>SS AD 114280</v>
      </c>
      <c r="E491" t="str">
        <f t="shared" si="65"/>
        <v>SS</v>
      </c>
      <c r="F491" t="s">
        <v>25</v>
      </c>
      <c r="G491" t="s">
        <v>22</v>
      </c>
      <c r="H491">
        <v>24076.46</v>
      </c>
      <c r="I491" t="str">
        <f t="shared" si="72"/>
        <v>Anchor Trust</v>
      </c>
      <c r="J491" t="str">
        <f>"DoH COVID-19 Infection Control Grant - Round 1 Private Contractors Agency And Contracted Services Residential &amp; Nursing Placements (Older People"</f>
        <v>DoH COVID-19 Infection Control Grant - Round 1 Private Contractors Agency And Contracted Services Residential &amp; Nursing Placements (Older People</v>
      </c>
    </row>
    <row r="492" spans="1:10" x14ac:dyDescent="0.35">
      <c r="A492" t="str">
        <f t="shared" si="68"/>
        <v>JUN</v>
      </c>
      <c r="B492" t="str">
        <f t="shared" si="63"/>
        <v>20</v>
      </c>
      <c r="C492" t="str">
        <f t="shared" si="64"/>
        <v>2020/21</v>
      </c>
      <c r="E492" t="str">
        <f t="shared" si="65"/>
        <v/>
      </c>
      <c r="F492" t="s">
        <v>25</v>
      </c>
      <c r="G492" t="s">
        <v>22</v>
      </c>
      <c r="H492">
        <v>16078.48</v>
      </c>
      <c r="I492" t="str">
        <f t="shared" si="72"/>
        <v>Anchor Trust</v>
      </c>
      <c r="J492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493" spans="1:10" x14ac:dyDescent="0.35">
      <c r="A493" t="str">
        <f t="shared" si="68"/>
        <v>JUN</v>
      </c>
      <c r="B493" t="str">
        <f t="shared" si="63"/>
        <v>20</v>
      </c>
      <c r="C493" t="str">
        <f t="shared" si="64"/>
        <v>2020/21</v>
      </c>
      <c r="E493" t="str">
        <f t="shared" si="65"/>
        <v/>
      </c>
      <c r="F493" t="s">
        <v>25</v>
      </c>
      <c r="G493" t="s">
        <v>22</v>
      </c>
      <c r="H493">
        <v>10414.379999999999</v>
      </c>
      <c r="I493" t="str">
        <f t="shared" si="72"/>
        <v>Anchor Trust</v>
      </c>
      <c r="J493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494" spans="1:10" x14ac:dyDescent="0.35">
      <c r="A494" t="str">
        <f t="shared" si="68"/>
        <v>JUN</v>
      </c>
      <c r="B494" t="str">
        <f t="shared" si="63"/>
        <v>20</v>
      </c>
      <c r="C494" t="str">
        <f t="shared" si="64"/>
        <v>2020/21</v>
      </c>
      <c r="E494" t="str">
        <f t="shared" si="65"/>
        <v/>
      </c>
      <c r="F494" t="s">
        <v>25</v>
      </c>
      <c r="G494" t="s">
        <v>22</v>
      </c>
      <c r="H494">
        <v>-4255.72</v>
      </c>
      <c r="I494" t="str">
        <f t="shared" si="72"/>
        <v>Anchor Trust</v>
      </c>
      <c r="J494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495" spans="1:10" x14ac:dyDescent="0.35">
      <c r="A495" t="str">
        <f t="shared" si="68"/>
        <v>JUN</v>
      </c>
      <c r="B495" t="str">
        <f t="shared" si="63"/>
        <v>20</v>
      </c>
      <c r="C495" t="str">
        <f t="shared" si="64"/>
        <v>2020/21</v>
      </c>
      <c r="E495" t="str">
        <f t="shared" si="65"/>
        <v/>
      </c>
      <c r="F495" t="s">
        <v>25</v>
      </c>
      <c r="G495" t="s">
        <v>22</v>
      </c>
      <c r="H495">
        <v>-3545.76</v>
      </c>
      <c r="I495" t="str">
        <f t="shared" si="72"/>
        <v>Anchor Trust</v>
      </c>
      <c r="J495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496" spans="1:10" x14ac:dyDescent="0.35">
      <c r="A496" t="str">
        <f t="shared" si="68"/>
        <v>JUN</v>
      </c>
      <c r="B496" t="str">
        <f t="shared" si="63"/>
        <v>20</v>
      </c>
      <c r="C496" t="str">
        <f t="shared" si="64"/>
        <v>2020/21</v>
      </c>
      <c r="E496" t="str">
        <f t="shared" si="65"/>
        <v/>
      </c>
      <c r="F496" t="s">
        <v>25</v>
      </c>
      <c r="G496" t="s">
        <v>22</v>
      </c>
      <c r="H496">
        <v>21957.48</v>
      </c>
      <c r="I496" t="str">
        <f>"The Mayfield Trust"</f>
        <v>The Mayfield Trust</v>
      </c>
      <c r="J496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497" spans="1:10" x14ac:dyDescent="0.35">
      <c r="A497" t="str">
        <f t="shared" si="68"/>
        <v>JUN</v>
      </c>
      <c r="B497" t="str">
        <f t="shared" si="63"/>
        <v>20</v>
      </c>
      <c r="C497" t="str">
        <f t="shared" si="64"/>
        <v>2020/21</v>
      </c>
      <c r="E497" t="str">
        <f t="shared" si="65"/>
        <v/>
      </c>
      <c r="F497" t="s">
        <v>25</v>
      </c>
      <c r="G497" t="s">
        <v>22</v>
      </c>
      <c r="H497">
        <v>2554.12</v>
      </c>
      <c r="I497" t="str">
        <f>"Bridgewood Trust Ltd"</f>
        <v>Bridgewood Trust Ltd</v>
      </c>
      <c r="J497" t="str">
        <f t="shared" ref="J497:J502" si="73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498" spans="1:10" x14ac:dyDescent="0.35">
      <c r="A498" t="str">
        <f t="shared" si="68"/>
        <v>JUN</v>
      </c>
      <c r="B498" t="str">
        <f t="shared" si="63"/>
        <v>20</v>
      </c>
      <c r="C498" t="str">
        <f t="shared" si="64"/>
        <v>2020/21</v>
      </c>
      <c r="E498" t="str">
        <f t="shared" si="65"/>
        <v/>
      </c>
      <c r="F498" t="s">
        <v>25</v>
      </c>
      <c r="G498" t="s">
        <v>22</v>
      </c>
      <c r="H498">
        <v>13424.16</v>
      </c>
      <c r="I498" t="str">
        <f>"Bridgewood Trust Ltd"</f>
        <v>Bridgewood Trust Ltd</v>
      </c>
      <c r="J498" t="str">
        <f t="shared" si="73"/>
        <v>Residential Placements (Learning Disabilities)-Voluntary Home Voluntary Associations Agency And Contracted Services Residential &amp; Nursing Placem</v>
      </c>
    </row>
    <row r="499" spans="1:10" x14ac:dyDescent="0.35">
      <c r="A499" t="str">
        <f t="shared" si="68"/>
        <v>JUN</v>
      </c>
      <c r="B499" t="str">
        <f t="shared" si="63"/>
        <v>20</v>
      </c>
      <c r="C499" t="str">
        <f t="shared" si="64"/>
        <v>2020/21</v>
      </c>
      <c r="E499" t="str">
        <f t="shared" si="65"/>
        <v/>
      </c>
      <c r="F499" t="s">
        <v>25</v>
      </c>
      <c r="G499" t="s">
        <v>22</v>
      </c>
      <c r="H499">
        <v>1849.96</v>
      </c>
      <c r="I499" t="str">
        <f>"Bridgewood Trust Ltd"</f>
        <v>Bridgewood Trust Ltd</v>
      </c>
      <c r="J499" t="str">
        <f t="shared" si="73"/>
        <v>Residential Placements (Learning Disabilities)-Voluntary Home Voluntary Associations Agency And Contracted Services Residential &amp; Nursing Placem</v>
      </c>
    </row>
    <row r="500" spans="1:10" x14ac:dyDescent="0.35">
      <c r="A500" t="str">
        <f t="shared" ref="A500:A535" si="74">"JUN"</f>
        <v>JUN</v>
      </c>
      <c r="B500" t="str">
        <f t="shared" si="63"/>
        <v>20</v>
      </c>
      <c r="C500" t="str">
        <f t="shared" si="64"/>
        <v>2020/21</v>
      </c>
      <c r="E500" t="str">
        <f t="shared" si="65"/>
        <v/>
      </c>
      <c r="F500" t="s">
        <v>25</v>
      </c>
      <c r="G500" t="s">
        <v>22</v>
      </c>
      <c r="H500">
        <v>2138.2399999999998</v>
      </c>
      <c r="I500" t="str">
        <f>"Bridgewood Trust Ltd"</f>
        <v>Bridgewood Trust Ltd</v>
      </c>
      <c r="J500" t="str">
        <f t="shared" si="73"/>
        <v>Residential Placements (Learning Disabilities)-Voluntary Home Voluntary Associations Agency And Contracted Services Residential &amp; Nursing Placem</v>
      </c>
    </row>
    <row r="501" spans="1:10" x14ac:dyDescent="0.35">
      <c r="A501" t="str">
        <f t="shared" si="74"/>
        <v>JUN</v>
      </c>
      <c r="B501" t="str">
        <f t="shared" si="63"/>
        <v>20</v>
      </c>
      <c r="C501" t="str">
        <f t="shared" si="64"/>
        <v>2020/21</v>
      </c>
      <c r="E501" t="str">
        <f t="shared" si="65"/>
        <v/>
      </c>
      <c r="F501" t="s">
        <v>25</v>
      </c>
      <c r="G501" t="s">
        <v>22</v>
      </c>
      <c r="H501">
        <v>27764.48</v>
      </c>
      <c r="I501" t="str">
        <f>"Bridgewood Trust Ltd"</f>
        <v>Bridgewood Trust Ltd</v>
      </c>
      <c r="J501" t="str">
        <f t="shared" si="73"/>
        <v>Residential Placements (Learning Disabilities)-Voluntary Home Voluntary Associations Agency And Contracted Services Residential &amp; Nursing Placem</v>
      </c>
    </row>
    <row r="502" spans="1:10" x14ac:dyDescent="0.35">
      <c r="A502" t="str">
        <f t="shared" si="74"/>
        <v>JUN</v>
      </c>
      <c r="B502" t="str">
        <f t="shared" si="63"/>
        <v>20</v>
      </c>
      <c r="C502" t="str">
        <f t="shared" si="64"/>
        <v>2020/21</v>
      </c>
      <c r="E502" t="str">
        <f t="shared" si="65"/>
        <v/>
      </c>
      <c r="F502" t="s">
        <v>25</v>
      </c>
      <c r="G502" t="s">
        <v>22</v>
      </c>
      <c r="H502">
        <v>6882.04</v>
      </c>
      <c r="I502" t="str">
        <f>"The Mayfield Trust"</f>
        <v>The Mayfield Trust</v>
      </c>
      <c r="J502" t="str">
        <f t="shared" si="73"/>
        <v>Residential Placements (Learning Disabilities)-Voluntary Home Voluntary Associations Agency And Contracted Services Residential &amp; Nursing Placem</v>
      </c>
    </row>
    <row r="503" spans="1:10" x14ac:dyDescent="0.35">
      <c r="A503" t="str">
        <f t="shared" si="74"/>
        <v>JUN</v>
      </c>
      <c r="B503" t="str">
        <f t="shared" si="63"/>
        <v>20</v>
      </c>
      <c r="C503" t="str">
        <f t="shared" si="64"/>
        <v>2020/21</v>
      </c>
      <c r="D503" t="str">
        <f>"SS AD 114288"</f>
        <v>SS AD 114288</v>
      </c>
      <c r="E503" t="str">
        <f t="shared" si="65"/>
        <v>SS</v>
      </c>
      <c r="F503" t="s">
        <v>25</v>
      </c>
      <c r="G503" t="s">
        <v>22</v>
      </c>
      <c r="H503">
        <v>2889.18</v>
      </c>
      <c r="I503" t="str">
        <f>"Bridgewood Trust Ltd"</f>
        <v>Bridgewood Trust Ltd</v>
      </c>
      <c r="J503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504" spans="1:10" x14ac:dyDescent="0.35">
      <c r="A504" t="str">
        <f t="shared" si="74"/>
        <v>JUN</v>
      </c>
      <c r="B504" t="str">
        <f t="shared" si="63"/>
        <v>20</v>
      </c>
      <c r="C504" t="str">
        <f t="shared" si="64"/>
        <v>2020/21</v>
      </c>
      <c r="D504" t="str">
        <f>"SS AD 114298"</f>
        <v>SS AD 114298</v>
      </c>
      <c r="E504" t="str">
        <f t="shared" si="65"/>
        <v>SS</v>
      </c>
      <c r="F504" t="s">
        <v>25</v>
      </c>
      <c r="G504" t="s">
        <v>22</v>
      </c>
      <c r="H504">
        <v>2407.65</v>
      </c>
      <c r="I504" t="str">
        <f>"Bridgewood Trust Ltd"</f>
        <v>Bridgewood Trust Ltd</v>
      </c>
      <c r="J504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505" spans="1:10" x14ac:dyDescent="0.35">
      <c r="A505" t="str">
        <f t="shared" si="74"/>
        <v>JUN</v>
      </c>
      <c r="B505" t="str">
        <f t="shared" si="63"/>
        <v>20</v>
      </c>
      <c r="C505" t="str">
        <f t="shared" si="64"/>
        <v>2020/21</v>
      </c>
      <c r="D505" t="str">
        <f>"SS AD 114297"</f>
        <v>SS AD 114297</v>
      </c>
      <c r="E505" t="str">
        <f t="shared" si="65"/>
        <v>SS</v>
      </c>
      <c r="F505" t="s">
        <v>25</v>
      </c>
      <c r="G505" t="s">
        <v>22</v>
      </c>
      <c r="H505">
        <v>5778.35</v>
      </c>
      <c r="I505" t="str">
        <f>"Bridgewood Trust Ltd"</f>
        <v>Bridgewood Trust Ltd</v>
      </c>
      <c r="J505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506" spans="1:10" x14ac:dyDescent="0.35">
      <c r="A506" t="str">
        <f t="shared" si="74"/>
        <v>JUN</v>
      </c>
      <c r="B506" t="str">
        <f t="shared" si="63"/>
        <v>20</v>
      </c>
      <c r="C506" t="str">
        <f t="shared" si="64"/>
        <v>2020/21</v>
      </c>
      <c r="D506" t="str">
        <f>"SS AD 114286"</f>
        <v>SS AD 114286</v>
      </c>
      <c r="E506" t="str">
        <f t="shared" si="65"/>
        <v>SS</v>
      </c>
      <c r="F506" t="s">
        <v>25</v>
      </c>
      <c r="G506" t="s">
        <v>22</v>
      </c>
      <c r="H506">
        <v>4815.29</v>
      </c>
      <c r="I506" t="str">
        <f>"The Mayfield Trust"</f>
        <v>The Mayfield Trust</v>
      </c>
      <c r="J506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507" spans="1:10" x14ac:dyDescent="0.35">
      <c r="A507" t="str">
        <f t="shared" si="74"/>
        <v>JUN</v>
      </c>
      <c r="B507" t="str">
        <f t="shared" si="63"/>
        <v>20</v>
      </c>
      <c r="C507" t="str">
        <f t="shared" si="64"/>
        <v>2020/21</v>
      </c>
      <c r="D507" t="str">
        <f>"SS AD 114292"</f>
        <v>SS AD 114292</v>
      </c>
      <c r="E507" t="str">
        <f t="shared" si="65"/>
        <v>SS</v>
      </c>
      <c r="F507" t="s">
        <v>25</v>
      </c>
      <c r="G507" t="s">
        <v>22</v>
      </c>
      <c r="H507">
        <v>1444.59</v>
      </c>
      <c r="I507" t="str">
        <f>"The Next Step Trust"</f>
        <v>The Next Step Trust</v>
      </c>
      <c r="J507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508" spans="1:10" x14ac:dyDescent="0.35">
      <c r="A508" t="str">
        <f t="shared" si="74"/>
        <v>JUN</v>
      </c>
      <c r="B508" t="str">
        <f t="shared" si="63"/>
        <v>20</v>
      </c>
      <c r="C508" t="str">
        <f t="shared" si="64"/>
        <v>2020/21</v>
      </c>
      <c r="E508" t="str">
        <f t="shared" si="65"/>
        <v/>
      </c>
      <c r="F508" t="s">
        <v>25</v>
      </c>
      <c r="G508" t="s">
        <v>22</v>
      </c>
      <c r="H508">
        <v>9060.98</v>
      </c>
      <c r="I508" t="str">
        <f>"Henshaws Society For Blind People re Red Admiral"</f>
        <v>Henshaws Society For Blind People re Red Admiral</v>
      </c>
      <c r="J508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509" spans="1:10" x14ac:dyDescent="0.35">
      <c r="A509" t="str">
        <f t="shared" si="74"/>
        <v>JUN</v>
      </c>
      <c r="B509" t="str">
        <f t="shared" si="63"/>
        <v>20</v>
      </c>
      <c r="C509" t="str">
        <f t="shared" si="64"/>
        <v>2020/21</v>
      </c>
      <c r="E509" t="str">
        <f t="shared" si="65"/>
        <v/>
      </c>
      <c r="F509" t="s">
        <v>25</v>
      </c>
      <c r="G509" t="s">
        <v>22</v>
      </c>
      <c r="H509">
        <v>-846</v>
      </c>
      <c r="I509" t="str">
        <f>"The Mayfield Trust"</f>
        <v>The Mayfield Trust</v>
      </c>
      <c r="J509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510" spans="1:10" x14ac:dyDescent="0.35">
      <c r="A510" t="str">
        <f t="shared" si="74"/>
        <v>JUN</v>
      </c>
      <c r="B510" t="str">
        <f t="shared" si="63"/>
        <v>20</v>
      </c>
      <c r="C510" t="str">
        <f t="shared" si="64"/>
        <v>2020/21</v>
      </c>
      <c r="E510" t="str">
        <f t="shared" si="65"/>
        <v/>
      </c>
      <c r="F510" t="s">
        <v>25</v>
      </c>
      <c r="G510" t="s">
        <v>22</v>
      </c>
      <c r="H510">
        <v>-423</v>
      </c>
      <c r="I510" t="str">
        <f>"Bridgewood Trust Ltd"</f>
        <v>Bridgewood Trust Ltd</v>
      </c>
      <c r="J510" t="str">
        <f t="shared" ref="J510:J516" si="75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511" spans="1:10" x14ac:dyDescent="0.35">
      <c r="A511" t="str">
        <f t="shared" si="74"/>
        <v>JUN</v>
      </c>
      <c r="B511" t="str">
        <f t="shared" si="63"/>
        <v>20</v>
      </c>
      <c r="C511" t="str">
        <f t="shared" si="64"/>
        <v>2020/21</v>
      </c>
      <c r="E511" t="str">
        <f t="shared" si="65"/>
        <v/>
      </c>
      <c r="F511" t="s">
        <v>25</v>
      </c>
      <c r="G511" t="s">
        <v>22</v>
      </c>
      <c r="H511">
        <v>-1692</v>
      </c>
      <c r="I511" t="str">
        <f>"Bridgewood Trust Ltd"</f>
        <v>Bridgewood Trust Ltd</v>
      </c>
      <c r="J511" t="str">
        <f t="shared" si="75"/>
        <v>Residential - Income Residential Placements Customer And Client Receipts Income Residential &amp; Nursing Placements (Learning Dis) Adult Health &amp; S</v>
      </c>
    </row>
    <row r="512" spans="1:10" x14ac:dyDescent="0.35">
      <c r="A512" t="str">
        <f t="shared" si="74"/>
        <v>JUN</v>
      </c>
      <c r="B512" t="str">
        <f t="shared" si="63"/>
        <v>20</v>
      </c>
      <c r="C512" t="str">
        <f t="shared" si="64"/>
        <v>2020/21</v>
      </c>
      <c r="E512" t="str">
        <f t="shared" si="65"/>
        <v/>
      </c>
      <c r="F512" t="s">
        <v>25</v>
      </c>
      <c r="G512" t="s">
        <v>22</v>
      </c>
      <c r="H512">
        <v>-595.4</v>
      </c>
      <c r="I512" t="str">
        <f>"Bridgewood Trust Ltd"</f>
        <v>Bridgewood Trust Ltd</v>
      </c>
      <c r="J512" t="str">
        <f t="shared" si="75"/>
        <v>Residential - Income Residential Placements Customer And Client Receipts Income Residential &amp; Nursing Placements (Learning Dis) Adult Health &amp; S</v>
      </c>
    </row>
    <row r="513" spans="1:10" x14ac:dyDescent="0.35">
      <c r="A513" t="str">
        <f t="shared" si="74"/>
        <v>JUN</v>
      </c>
      <c r="B513" t="str">
        <f t="shared" si="63"/>
        <v>20</v>
      </c>
      <c r="C513" t="str">
        <f t="shared" si="64"/>
        <v>2020/21</v>
      </c>
      <c r="E513" t="str">
        <f t="shared" si="65"/>
        <v/>
      </c>
      <c r="F513" t="s">
        <v>25</v>
      </c>
      <c r="G513" t="s">
        <v>22</v>
      </c>
      <c r="H513">
        <v>-423</v>
      </c>
      <c r="I513" t="str">
        <f>"Bridgewood Trust Ltd"</f>
        <v>Bridgewood Trust Ltd</v>
      </c>
      <c r="J513" t="str">
        <f t="shared" si="75"/>
        <v>Residential - Income Residential Placements Customer And Client Receipts Income Residential &amp; Nursing Placements (Learning Dis) Adult Health &amp; S</v>
      </c>
    </row>
    <row r="514" spans="1:10" x14ac:dyDescent="0.35">
      <c r="A514" t="str">
        <f t="shared" si="74"/>
        <v>JUN</v>
      </c>
      <c r="B514" t="str">
        <f t="shared" ref="B514:B577" si="76">"20"</f>
        <v>20</v>
      </c>
      <c r="C514" t="str">
        <f t="shared" ref="C514:C577" si="77">"2020/21"</f>
        <v>2020/21</v>
      </c>
      <c r="E514" t="str">
        <f t="shared" ref="E514:E577" si="78">LEFT(D514,2)</f>
        <v/>
      </c>
      <c r="F514" t="s">
        <v>25</v>
      </c>
      <c r="G514" t="s">
        <v>22</v>
      </c>
      <c r="H514">
        <v>-4483.72</v>
      </c>
      <c r="I514" t="str">
        <f>"Bridgewood Trust Ltd"</f>
        <v>Bridgewood Trust Ltd</v>
      </c>
      <c r="J514" t="str">
        <f t="shared" si="75"/>
        <v>Residential - Income Residential Placements Customer And Client Receipts Income Residential &amp; Nursing Placements (Learning Dis) Adult Health &amp; S</v>
      </c>
    </row>
    <row r="515" spans="1:10" x14ac:dyDescent="0.35">
      <c r="A515" t="str">
        <f t="shared" si="74"/>
        <v>JUN</v>
      </c>
      <c r="B515" t="str">
        <f t="shared" si="76"/>
        <v>20</v>
      </c>
      <c r="C515" t="str">
        <f t="shared" si="77"/>
        <v>2020/21</v>
      </c>
      <c r="E515" t="str">
        <f t="shared" si="78"/>
        <v/>
      </c>
      <c r="F515" t="s">
        <v>25</v>
      </c>
      <c r="G515" t="s">
        <v>22</v>
      </c>
      <c r="H515">
        <v>-423</v>
      </c>
      <c r="I515" t="str">
        <f>"The Mayfield Trust"</f>
        <v>The Mayfield Trust</v>
      </c>
      <c r="J515" t="str">
        <f t="shared" si="75"/>
        <v>Residential - Income Residential Placements Customer And Client Receipts Income Residential &amp; Nursing Placements (Learning Dis) Adult Health &amp; S</v>
      </c>
    </row>
    <row r="516" spans="1:10" x14ac:dyDescent="0.35">
      <c r="A516" t="str">
        <f t="shared" si="74"/>
        <v>JUN</v>
      </c>
      <c r="B516" t="str">
        <f t="shared" si="76"/>
        <v>20</v>
      </c>
      <c r="C516" t="str">
        <f t="shared" si="77"/>
        <v>2020/21</v>
      </c>
      <c r="E516" t="str">
        <f t="shared" si="78"/>
        <v/>
      </c>
      <c r="F516" t="s">
        <v>25</v>
      </c>
      <c r="G516" t="s">
        <v>22</v>
      </c>
      <c r="H516">
        <v>-423</v>
      </c>
      <c r="I516" t="str">
        <f>"Henshaws Society For Blind People re Red Admiral"</f>
        <v>Henshaws Society For Blind People re Red Admiral</v>
      </c>
      <c r="J516" t="str">
        <f t="shared" si="75"/>
        <v>Residential - Income Residential Placements Customer And Client Receipts Income Residential &amp; Nursing Placements (Learning Dis) Adult Health &amp; S</v>
      </c>
    </row>
    <row r="517" spans="1:10" x14ac:dyDescent="0.35">
      <c r="A517" t="str">
        <f t="shared" si="74"/>
        <v>JUN</v>
      </c>
      <c r="B517" t="str">
        <f t="shared" si="76"/>
        <v>20</v>
      </c>
      <c r="C517" t="str">
        <f t="shared" si="77"/>
        <v>2020/21</v>
      </c>
      <c r="D517" t="str">
        <f>"SS CO 113260"</f>
        <v>SS CO 113260</v>
      </c>
      <c r="E517" t="str">
        <f t="shared" si="78"/>
        <v>SS</v>
      </c>
      <c r="F517" t="s">
        <v>25</v>
      </c>
      <c r="G517" t="s">
        <v>22</v>
      </c>
      <c r="H517">
        <v>15922.58</v>
      </c>
      <c r="I517" t="str">
        <f>"Alzheimers Society"</f>
        <v>Alzheimers Society</v>
      </c>
      <c r="J517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518" spans="1:10" x14ac:dyDescent="0.35">
      <c r="A518" t="str">
        <f t="shared" si="74"/>
        <v>JUN</v>
      </c>
      <c r="B518" t="str">
        <f t="shared" si="76"/>
        <v>20</v>
      </c>
      <c r="C518" t="str">
        <f t="shared" si="77"/>
        <v>2020/21</v>
      </c>
      <c r="D518" t="str">
        <f>"SS CO 113850"</f>
        <v>SS CO 113850</v>
      </c>
      <c r="E518" t="str">
        <f t="shared" si="78"/>
        <v>SS</v>
      </c>
      <c r="F518" t="s">
        <v>25</v>
      </c>
      <c r="G518" t="s">
        <v>22</v>
      </c>
      <c r="H518">
        <v>18016.669999999998</v>
      </c>
      <c r="I518" t="str">
        <f>"Cloverleaf Advocacy 2000 Ltd"</f>
        <v>Cloverleaf Advocacy 2000 Ltd</v>
      </c>
      <c r="J518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519" spans="1:10" x14ac:dyDescent="0.35">
      <c r="A519" t="str">
        <f t="shared" si="74"/>
        <v>JUN</v>
      </c>
      <c r="B519" t="str">
        <f t="shared" si="76"/>
        <v>20</v>
      </c>
      <c r="C519" t="str">
        <f t="shared" si="77"/>
        <v>2020/21</v>
      </c>
      <c r="D519" t="str">
        <f t="shared" ref="D519:D525" si="79">"SS CO 113368"</f>
        <v>SS CO 113368</v>
      </c>
      <c r="E519" t="str">
        <f t="shared" si="78"/>
        <v>SS</v>
      </c>
      <c r="F519" t="s">
        <v>25</v>
      </c>
      <c r="G519" t="s">
        <v>22</v>
      </c>
      <c r="H519">
        <v>2190.3200000000002</v>
      </c>
      <c r="I519" t="str">
        <f t="shared" ref="I519:I525" si="80">"Anchor Trust"</f>
        <v>Anchor Trust</v>
      </c>
      <c r="J519" t="str">
        <f t="shared" ref="J519:J525" si="81"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520" spans="1:10" x14ac:dyDescent="0.35">
      <c r="A520" t="str">
        <f t="shared" si="74"/>
        <v>JUN</v>
      </c>
      <c r="B520" t="str">
        <f t="shared" si="76"/>
        <v>20</v>
      </c>
      <c r="C520" t="str">
        <f t="shared" si="77"/>
        <v>2020/21</v>
      </c>
      <c r="D520" t="str">
        <f t="shared" si="79"/>
        <v>SS CO 113368</v>
      </c>
      <c r="E520" t="str">
        <f t="shared" si="78"/>
        <v>SS</v>
      </c>
      <c r="F520" t="s">
        <v>25</v>
      </c>
      <c r="G520" t="s">
        <v>22</v>
      </c>
      <c r="H520">
        <v>3285.48</v>
      </c>
      <c r="I520" t="str">
        <f t="shared" si="80"/>
        <v>Anchor Trust</v>
      </c>
      <c r="J520" t="str">
        <f t="shared" si="81"/>
        <v>Transitional Residential Beds Contract Private Contractors Agency And Contracted Services Older People Commissioning Budget Adult Health &amp; Socia</v>
      </c>
    </row>
    <row r="521" spans="1:10" x14ac:dyDescent="0.35">
      <c r="A521" t="str">
        <f t="shared" si="74"/>
        <v>JUN</v>
      </c>
      <c r="B521" t="str">
        <f t="shared" si="76"/>
        <v>20</v>
      </c>
      <c r="C521" t="str">
        <f t="shared" si="77"/>
        <v>2020/21</v>
      </c>
      <c r="D521" t="str">
        <f t="shared" si="79"/>
        <v>SS CO 113368</v>
      </c>
      <c r="E521" t="str">
        <f t="shared" si="78"/>
        <v>SS</v>
      </c>
      <c r="F521" t="s">
        <v>25</v>
      </c>
      <c r="G521" t="s">
        <v>22</v>
      </c>
      <c r="H521">
        <v>3833.06</v>
      </c>
      <c r="I521" t="str">
        <f t="shared" si="80"/>
        <v>Anchor Trust</v>
      </c>
      <c r="J521" t="str">
        <f t="shared" si="81"/>
        <v>Transitional Residential Beds Contract Private Contractors Agency And Contracted Services Older People Commissioning Budget Adult Health &amp; Socia</v>
      </c>
    </row>
    <row r="522" spans="1:10" x14ac:dyDescent="0.35">
      <c r="A522" t="str">
        <f t="shared" si="74"/>
        <v>JUN</v>
      </c>
      <c r="B522" t="str">
        <f t="shared" si="76"/>
        <v>20</v>
      </c>
      <c r="C522" t="str">
        <f t="shared" si="77"/>
        <v>2020/21</v>
      </c>
      <c r="D522" t="str">
        <f t="shared" si="79"/>
        <v>SS CO 113368</v>
      </c>
      <c r="E522" t="str">
        <f t="shared" si="78"/>
        <v>SS</v>
      </c>
      <c r="F522" t="s">
        <v>25</v>
      </c>
      <c r="G522" t="s">
        <v>22</v>
      </c>
      <c r="H522">
        <v>7666.12</v>
      </c>
      <c r="I522" t="str">
        <f t="shared" si="80"/>
        <v>Anchor Trust</v>
      </c>
      <c r="J522" t="str">
        <f t="shared" si="81"/>
        <v>Transitional Residential Beds Contract Private Contractors Agency And Contracted Services Older People Commissioning Budget Adult Health &amp; Socia</v>
      </c>
    </row>
    <row r="523" spans="1:10" x14ac:dyDescent="0.35">
      <c r="A523" t="str">
        <f t="shared" si="74"/>
        <v>JUN</v>
      </c>
      <c r="B523" t="str">
        <f t="shared" si="76"/>
        <v>20</v>
      </c>
      <c r="C523" t="str">
        <f t="shared" si="77"/>
        <v>2020/21</v>
      </c>
      <c r="D523" t="str">
        <f t="shared" si="79"/>
        <v>SS CO 113368</v>
      </c>
      <c r="E523" t="str">
        <f t="shared" si="78"/>
        <v>SS</v>
      </c>
      <c r="F523" t="s">
        <v>25</v>
      </c>
      <c r="G523" t="s">
        <v>22</v>
      </c>
      <c r="H523">
        <v>1799.2</v>
      </c>
      <c r="I523" t="str">
        <f t="shared" si="80"/>
        <v>Anchor Trust</v>
      </c>
      <c r="J523" t="str">
        <f t="shared" si="81"/>
        <v>Transitional Residential Beds Contract Private Contractors Agency And Contracted Services Older People Commissioning Budget Adult Health &amp; Socia</v>
      </c>
    </row>
    <row r="524" spans="1:10" x14ac:dyDescent="0.35">
      <c r="A524" t="str">
        <f t="shared" si="74"/>
        <v>JUN</v>
      </c>
      <c r="B524" t="str">
        <f t="shared" si="76"/>
        <v>20</v>
      </c>
      <c r="C524" t="str">
        <f t="shared" si="77"/>
        <v>2020/21</v>
      </c>
      <c r="D524" t="str">
        <f t="shared" si="79"/>
        <v>SS CO 113368</v>
      </c>
      <c r="E524" t="str">
        <f t="shared" si="78"/>
        <v>SS</v>
      </c>
      <c r="F524" t="s">
        <v>25</v>
      </c>
      <c r="G524" t="s">
        <v>22</v>
      </c>
      <c r="H524">
        <v>312.89</v>
      </c>
      <c r="I524" t="str">
        <f t="shared" si="80"/>
        <v>Anchor Trust</v>
      </c>
      <c r="J524" t="str">
        <f t="shared" si="81"/>
        <v>Transitional Residential Beds Contract Private Contractors Agency And Contracted Services Older People Commissioning Budget Adult Health &amp; Socia</v>
      </c>
    </row>
    <row r="525" spans="1:10" x14ac:dyDescent="0.35">
      <c r="A525" t="str">
        <f t="shared" si="74"/>
        <v>JUN</v>
      </c>
      <c r="B525" t="str">
        <f t="shared" si="76"/>
        <v>20</v>
      </c>
      <c r="C525" t="str">
        <f t="shared" si="77"/>
        <v>2020/21</v>
      </c>
      <c r="D525" t="str">
        <f t="shared" si="79"/>
        <v>SS CO 113368</v>
      </c>
      <c r="E525" t="str">
        <f t="shared" si="78"/>
        <v>SS</v>
      </c>
      <c r="F525" t="s">
        <v>25</v>
      </c>
      <c r="G525" t="s">
        <v>22</v>
      </c>
      <c r="H525">
        <v>3598.4</v>
      </c>
      <c r="I525" t="str">
        <f t="shared" si="80"/>
        <v>Anchor Trust</v>
      </c>
      <c r="J525" t="str">
        <f t="shared" si="81"/>
        <v>Transitional Residential Beds Contract Private Contractors Agency And Contracted Services Older People Commissioning Budget Adult Health &amp; Socia</v>
      </c>
    </row>
    <row r="526" spans="1:10" x14ac:dyDescent="0.35">
      <c r="A526" t="str">
        <f t="shared" si="74"/>
        <v>JUN</v>
      </c>
      <c r="B526" t="str">
        <f t="shared" si="76"/>
        <v>20</v>
      </c>
      <c r="C526" t="str">
        <f t="shared" si="77"/>
        <v>2020/21</v>
      </c>
      <c r="D526" t="str">
        <f>"SS CO 113367"</f>
        <v>SS CO 113367</v>
      </c>
      <c r="E526" t="str">
        <f t="shared" si="78"/>
        <v>SS</v>
      </c>
      <c r="F526" t="s">
        <v>25</v>
      </c>
      <c r="G526" t="s">
        <v>22</v>
      </c>
      <c r="H526">
        <v>5708.2</v>
      </c>
      <c r="I526" t="str">
        <f>"Cloverleaf Advocacy 2000 Ltd"</f>
        <v>Cloverleaf Advocacy 2000 Ltd</v>
      </c>
      <c r="J526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527" spans="1:10" x14ac:dyDescent="0.35">
      <c r="A527" t="str">
        <f t="shared" si="74"/>
        <v>JUN</v>
      </c>
      <c r="B527" t="str">
        <f t="shared" si="76"/>
        <v>20</v>
      </c>
      <c r="C527" t="str">
        <f t="shared" si="77"/>
        <v>2020/21</v>
      </c>
      <c r="D527" t="str">
        <f>"SS CO 108936"</f>
        <v>SS CO 108936</v>
      </c>
      <c r="E527" t="str">
        <f t="shared" si="78"/>
        <v>SS</v>
      </c>
      <c r="F527" t="s">
        <v>25</v>
      </c>
      <c r="G527" t="s">
        <v>22</v>
      </c>
      <c r="H527">
        <v>148.75</v>
      </c>
      <c r="I527" t="str">
        <f>"Advocacy Focus"</f>
        <v>Advocacy Focus</v>
      </c>
      <c r="J527" t="str">
        <f>"Advocacy for Adults Voluntary Associations Agency And Contracted Services Mental Health Commissioning Budget Adult Health &amp; Social Care"</f>
        <v>Advocacy for Adults Voluntary Associations Agency And Contracted Services Mental Health Commissioning Budget Adult Health &amp; Social Care</v>
      </c>
    </row>
    <row r="528" spans="1:10" x14ac:dyDescent="0.35">
      <c r="A528" t="str">
        <f t="shared" si="74"/>
        <v>JUN</v>
      </c>
      <c r="B528" t="str">
        <f t="shared" si="76"/>
        <v>20</v>
      </c>
      <c r="C528" t="str">
        <f t="shared" si="77"/>
        <v>2020/21</v>
      </c>
      <c r="D528" t="str">
        <f>"SS CO 112751"</f>
        <v>SS CO 112751</v>
      </c>
      <c r="E528" t="str">
        <f t="shared" si="78"/>
        <v>SS</v>
      </c>
      <c r="F528" t="s">
        <v>25</v>
      </c>
      <c r="G528" t="s">
        <v>22</v>
      </c>
      <c r="H528">
        <v>43.75</v>
      </c>
      <c r="I528" t="str">
        <f>"Advocacy Focus"</f>
        <v>Advocacy Focus</v>
      </c>
      <c r="J528" t="str">
        <f>"Advocacy for Adults Voluntary Associations Agency And Contracted Services Mental Health Commissioning Budget Adult Health &amp; Social Care"</f>
        <v>Advocacy for Adults Voluntary Associations Agency And Contracted Services Mental Health Commissioning Budget Adult Health &amp; Social Care</v>
      </c>
    </row>
    <row r="529" spans="1:10" x14ac:dyDescent="0.35">
      <c r="A529" t="str">
        <f t="shared" si="74"/>
        <v>JUN</v>
      </c>
      <c r="B529" t="str">
        <f t="shared" si="76"/>
        <v>20</v>
      </c>
      <c r="C529" t="str">
        <f t="shared" si="77"/>
        <v>2020/21</v>
      </c>
      <c r="D529" t="str">
        <f>"SS CO 112761"</f>
        <v>SS CO 112761</v>
      </c>
      <c r="E529" t="str">
        <f t="shared" si="78"/>
        <v>SS</v>
      </c>
      <c r="F529" t="s">
        <v>25</v>
      </c>
      <c r="G529" t="s">
        <v>22</v>
      </c>
      <c r="H529">
        <v>7402.25</v>
      </c>
      <c r="I529" t="str">
        <f>"The Stroke Association"</f>
        <v>The Stroke Association</v>
      </c>
      <c r="J529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530" spans="1:10" x14ac:dyDescent="0.35">
      <c r="A530" t="str">
        <f t="shared" si="74"/>
        <v>JUN</v>
      </c>
      <c r="B530" t="str">
        <f t="shared" si="76"/>
        <v>20</v>
      </c>
      <c r="C530" t="str">
        <f t="shared" si="77"/>
        <v>2020/21</v>
      </c>
      <c r="D530" t="str">
        <f t="shared" ref="D530:D535" si="82">"LS RE 204348"</f>
        <v>LS RE 204348</v>
      </c>
      <c r="E530" t="str">
        <f t="shared" si="78"/>
        <v>LS</v>
      </c>
      <c r="F530" t="s">
        <v>35</v>
      </c>
      <c r="G530" t="s">
        <v>14</v>
      </c>
      <c r="H530">
        <v>379</v>
      </c>
      <c r="I530" t="str">
        <f t="shared" ref="I530:I535" si="83">"Keep Britain Tidy"</f>
        <v>Keep Britain Tidy</v>
      </c>
      <c r="J530" t="str">
        <f t="shared" ref="J530:J535" si="84">"Projects Expenses Supplies And Services Head of Greenspaces Green Space and Street Scene"</f>
        <v>Projects Expenses Supplies And Services Head of Greenspaces Green Space and Street Scene</v>
      </c>
    </row>
    <row r="531" spans="1:10" x14ac:dyDescent="0.35">
      <c r="A531" t="str">
        <f t="shared" si="74"/>
        <v>JUN</v>
      </c>
      <c r="B531" t="str">
        <f t="shared" si="76"/>
        <v>20</v>
      </c>
      <c r="C531" t="str">
        <f t="shared" si="77"/>
        <v>2020/21</v>
      </c>
      <c r="D531" t="str">
        <f t="shared" si="82"/>
        <v>LS RE 204348</v>
      </c>
      <c r="E531" t="str">
        <f t="shared" si="78"/>
        <v>LS</v>
      </c>
      <c r="F531" t="s">
        <v>35</v>
      </c>
      <c r="G531" t="s">
        <v>14</v>
      </c>
      <c r="H531">
        <v>379</v>
      </c>
      <c r="I531" t="str">
        <f t="shared" si="83"/>
        <v>Keep Britain Tidy</v>
      </c>
      <c r="J531" t="str">
        <f t="shared" si="84"/>
        <v>Projects Expenses Supplies And Services Head of Greenspaces Green Space and Street Scene</v>
      </c>
    </row>
    <row r="532" spans="1:10" x14ac:dyDescent="0.35">
      <c r="A532" t="str">
        <f t="shared" si="74"/>
        <v>JUN</v>
      </c>
      <c r="B532" t="str">
        <f t="shared" si="76"/>
        <v>20</v>
      </c>
      <c r="C532" t="str">
        <f t="shared" si="77"/>
        <v>2020/21</v>
      </c>
      <c r="D532" t="str">
        <f t="shared" si="82"/>
        <v>LS RE 204348</v>
      </c>
      <c r="E532" t="str">
        <f t="shared" si="78"/>
        <v>LS</v>
      </c>
      <c r="F532" t="s">
        <v>35</v>
      </c>
      <c r="G532" t="s">
        <v>14</v>
      </c>
      <c r="H532">
        <v>329</v>
      </c>
      <c r="I532" t="str">
        <f t="shared" si="83"/>
        <v>Keep Britain Tidy</v>
      </c>
      <c r="J532" t="str">
        <f t="shared" si="84"/>
        <v>Projects Expenses Supplies And Services Head of Greenspaces Green Space and Street Scene</v>
      </c>
    </row>
    <row r="533" spans="1:10" x14ac:dyDescent="0.35">
      <c r="A533" t="str">
        <f t="shared" si="74"/>
        <v>JUN</v>
      </c>
      <c r="B533" t="str">
        <f t="shared" si="76"/>
        <v>20</v>
      </c>
      <c r="C533" t="str">
        <f t="shared" si="77"/>
        <v>2020/21</v>
      </c>
      <c r="D533" t="str">
        <f t="shared" si="82"/>
        <v>LS RE 204348</v>
      </c>
      <c r="E533" t="str">
        <f t="shared" si="78"/>
        <v>LS</v>
      </c>
      <c r="F533" t="s">
        <v>35</v>
      </c>
      <c r="G533" t="s">
        <v>14</v>
      </c>
      <c r="H533">
        <v>329</v>
      </c>
      <c r="I533" t="str">
        <f t="shared" si="83"/>
        <v>Keep Britain Tidy</v>
      </c>
      <c r="J533" t="str">
        <f t="shared" si="84"/>
        <v>Projects Expenses Supplies And Services Head of Greenspaces Green Space and Street Scene</v>
      </c>
    </row>
    <row r="534" spans="1:10" x14ac:dyDescent="0.35">
      <c r="A534" t="str">
        <f t="shared" si="74"/>
        <v>JUN</v>
      </c>
      <c r="B534" t="str">
        <f t="shared" si="76"/>
        <v>20</v>
      </c>
      <c r="C534" t="str">
        <f t="shared" si="77"/>
        <v>2020/21</v>
      </c>
      <c r="D534" t="str">
        <f t="shared" si="82"/>
        <v>LS RE 204348</v>
      </c>
      <c r="E534" t="str">
        <f t="shared" si="78"/>
        <v>LS</v>
      </c>
      <c r="F534" t="s">
        <v>35</v>
      </c>
      <c r="G534" t="s">
        <v>14</v>
      </c>
      <c r="H534">
        <v>329</v>
      </c>
      <c r="I534" t="str">
        <f t="shared" si="83"/>
        <v>Keep Britain Tidy</v>
      </c>
      <c r="J534" t="str">
        <f t="shared" si="84"/>
        <v>Projects Expenses Supplies And Services Head of Greenspaces Green Space and Street Scene</v>
      </c>
    </row>
    <row r="535" spans="1:10" x14ac:dyDescent="0.35">
      <c r="A535" t="str">
        <f t="shared" si="74"/>
        <v>JUN</v>
      </c>
      <c r="B535" t="str">
        <f t="shared" si="76"/>
        <v>20</v>
      </c>
      <c r="C535" t="str">
        <f t="shared" si="77"/>
        <v>2020/21</v>
      </c>
      <c r="D535" t="str">
        <f t="shared" si="82"/>
        <v>LS RE 204348</v>
      </c>
      <c r="E535" t="str">
        <f t="shared" si="78"/>
        <v>LS</v>
      </c>
      <c r="F535" t="s">
        <v>35</v>
      </c>
      <c r="G535" t="s">
        <v>14</v>
      </c>
      <c r="H535">
        <v>329</v>
      </c>
      <c r="I535" t="str">
        <f t="shared" si="83"/>
        <v>Keep Britain Tidy</v>
      </c>
      <c r="J535" t="str">
        <f t="shared" si="84"/>
        <v>Projects Expenses Supplies And Services Head of Greenspaces Green Space and Street Scene</v>
      </c>
    </row>
    <row r="536" spans="1:10" x14ac:dyDescent="0.35">
      <c r="A536" t="str">
        <f t="shared" ref="A536:A599" si="85">"JUL"</f>
        <v>JUL</v>
      </c>
      <c r="B536" t="str">
        <f t="shared" si="76"/>
        <v>20</v>
      </c>
      <c r="C536" t="str">
        <f t="shared" si="77"/>
        <v>2020/21</v>
      </c>
      <c r="D536" t="str">
        <f>"LS MU 205540"</f>
        <v>LS MU 205540</v>
      </c>
      <c r="E536" t="str">
        <f t="shared" si="78"/>
        <v>LS</v>
      </c>
      <c r="F536" t="s">
        <v>37</v>
      </c>
      <c r="G536" t="s">
        <v>14</v>
      </c>
      <c r="H536">
        <v>8996.69</v>
      </c>
      <c r="I536" t="str">
        <f>"The Piece Hall Trust"</f>
        <v>The Piece Hall Trust</v>
      </c>
      <c r="J536" t="str">
        <f>"Miscellaneous Activity Costs - Heritage &amp; Learning Assistant Piece Hall Transformation Project - Delivery Phase Service Development - Client Ser"</f>
        <v>Miscellaneous Activity Costs - Heritage &amp; Learning Assistant Piece Hall Transformation Project - Delivery Phase Service Development - Client Ser</v>
      </c>
    </row>
    <row r="537" spans="1:10" x14ac:dyDescent="0.35">
      <c r="A537" t="str">
        <f t="shared" si="85"/>
        <v>JUL</v>
      </c>
      <c r="B537" t="str">
        <f t="shared" si="76"/>
        <v>20</v>
      </c>
      <c r="C537" t="str">
        <f t="shared" si="77"/>
        <v>2020/21</v>
      </c>
      <c r="D537" t="str">
        <f>"LS MU 205540"</f>
        <v>LS MU 205540</v>
      </c>
      <c r="E537" t="str">
        <f t="shared" si="78"/>
        <v>LS</v>
      </c>
      <c r="F537" t="s">
        <v>37</v>
      </c>
      <c r="G537" t="s">
        <v>14</v>
      </c>
      <c r="H537">
        <v>22168.54</v>
      </c>
      <c r="I537" t="str">
        <f>"The Piece Hall Trust"</f>
        <v>The Piece Hall Trust</v>
      </c>
      <c r="J537" t="str">
        <f>"Miscellaneous Activity Costs - Heritage &amp; Learning Assistant Piece Hall Transformation Project - Delivery Phase Service Development - Client Ser"</f>
        <v>Miscellaneous Activity Costs - Heritage &amp; Learning Assistant Piece Hall Transformation Project - Delivery Phase Service Development - Client Ser</v>
      </c>
    </row>
    <row r="538" spans="1:10" x14ac:dyDescent="0.35">
      <c r="A538" t="str">
        <f t="shared" si="85"/>
        <v>JUL</v>
      </c>
      <c r="B538" t="str">
        <f t="shared" si="76"/>
        <v>20</v>
      </c>
      <c r="C538" t="str">
        <f t="shared" si="77"/>
        <v>2020/21</v>
      </c>
      <c r="D538" t="str">
        <f>"LS NE 205542"</f>
        <v>LS NE 205542</v>
      </c>
      <c r="E538" t="str">
        <f t="shared" si="78"/>
        <v>LS</v>
      </c>
      <c r="F538" t="s">
        <v>13</v>
      </c>
      <c r="G538" t="s">
        <v>14</v>
      </c>
      <c r="H538">
        <v>500</v>
      </c>
      <c r="I538" t="str">
        <f>"The Luddenden Mayor's Fund"</f>
        <v>The Luddenden Mayor's Fund</v>
      </c>
      <c r="J538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539" spans="1:10" x14ac:dyDescent="0.35">
      <c r="A539" t="str">
        <f t="shared" si="85"/>
        <v>JUL</v>
      </c>
      <c r="B539" t="str">
        <f t="shared" si="76"/>
        <v>20</v>
      </c>
      <c r="C539" t="str">
        <f t="shared" si="77"/>
        <v>2020/21</v>
      </c>
      <c r="D539" t="str">
        <f>"LS NE 205567"</f>
        <v>LS NE 205567</v>
      </c>
      <c r="E539" t="str">
        <f t="shared" si="78"/>
        <v>LS</v>
      </c>
      <c r="F539" t="s">
        <v>13</v>
      </c>
      <c r="G539" t="s">
        <v>14</v>
      </c>
      <c r="H539">
        <v>500</v>
      </c>
      <c r="I539" t="str">
        <f>"Todmorden In Bloom"</f>
        <v>Todmorden In Bloom</v>
      </c>
      <c r="J539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540" spans="1:10" x14ac:dyDescent="0.35">
      <c r="A540" t="str">
        <f t="shared" si="85"/>
        <v>JUL</v>
      </c>
      <c r="B540" t="str">
        <f t="shared" si="76"/>
        <v>20</v>
      </c>
      <c r="C540" t="str">
        <f t="shared" si="77"/>
        <v>2020/21</v>
      </c>
      <c r="D540" t="str">
        <f>"LS NE 205556"</f>
        <v>LS NE 205556</v>
      </c>
      <c r="E540" t="str">
        <f t="shared" si="78"/>
        <v>LS</v>
      </c>
      <c r="F540" t="s">
        <v>13</v>
      </c>
      <c r="G540" t="s">
        <v>14</v>
      </c>
      <c r="H540">
        <v>37877.5</v>
      </c>
      <c r="I540" t="str">
        <f>"North Halifax Partnership Ltd"</f>
        <v>North Halifax Partnership Ltd</v>
      </c>
      <c r="J540" t="str">
        <f>"North Halifax Partnership Grants And Subscriptions Supplies And Services Neighbourhood Working Community Safety &amp; Support"</f>
        <v>North Halifax Partnership Grants And Subscriptions Supplies And Services Neighbourhood Working Community Safety &amp; Support</v>
      </c>
    </row>
    <row r="541" spans="1:10" x14ac:dyDescent="0.35">
      <c r="A541" t="str">
        <f t="shared" si="85"/>
        <v>JUL</v>
      </c>
      <c r="B541" t="str">
        <f t="shared" si="76"/>
        <v>20</v>
      </c>
      <c r="C541" t="str">
        <f t="shared" si="77"/>
        <v>2020/21</v>
      </c>
      <c r="D541" t="str">
        <f>"LS NE 205624"</f>
        <v>LS NE 205624</v>
      </c>
      <c r="E541" t="str">
        <f t="shared" si="78"/>
        <v>LS</v>
      </c>
      <c r="F541" t="s">
        <v>13</v>
      </c>
      <c r="G541" t="s">
        <v>14</v>
      </c>
      <c r="H541">
        <v>2596.31</v>
      </c>
      <c r="I541" t="str">
        <f>"Hebden Bridge Community Association"</f>
        <v>Hebden Bridge Community Association</v>
      </c>
      <c r="J541" t="str">
        <f>"Staying Well - Hub Payments Miscellaneous Expenses Supplies And Services Neighbourhood Schemes / Staying Well Project Community Safety &amp; Support"</f>
        <v>Staying Well - Hub Payments Miscellaneous Expenses Supplies And Services Neighbourhood Schemes / Staying Well Project Community Safety &amp; Support</v>
      </c>
    </row>
    <row r="542" spans="1:10" x14ac:dyDescent="0.35">
      <c r="A542" t="str">
        <f t="shared" si="85"/>
        <v>JUL</v>
      </c>
      <c r="B542" t="str">
        <f t="shared" si="76"/>
        <v>20</v>
      </c>
      <c r="C542" t="str">
        <f t="shared" si="77"/>
        <v>2020/21</v>
      </c>
      <c r="D542" t="str">
        <f>"LS MU 205539"</f>
        <v>LS MU 205539</v>
      </c>
      <c r="E542" t="str">
        <f t="shared" si="78"/>
        <v>LS</v>
      </c>
      <c r="F542" t="s">
        <v>16</v>
      </c>
      <c r="G542" t="s">
        <v>14</v>
      </c>
      <c r="H542">
        <v>59250</v>
      </c>
      <c r="I542" t="str">
        <f>"The Piece Hall Trust"</f>
        <v>The Piece Hall Trust</v>
      </c>
      <c r="J542" t="str">
        <f>"Miscellaneous General Miscellaneous Expenses Supplies And Services Piece Hall Museums &amp; Arts"</f>
        <v>Miscellaneous General Miscellaneous Expenses Supplies And Services Piece Hall Museums &amp; Arts</v>
      </c>
    </row>
    <row r="543" spans="1:10" x14ac:dyDescent="0.35">
      <c r="A543" t="str">
        <f t="shared" si="85"/>
        <v>JUL</v>
      </c>
      <c r="B543" t="str">
        <f t="shared" si="76"/>
        <v>20</v>
      </c>
      <c r="C543" t="str">
        <f t="shared" si="77"/>
        <v>2020/21</v>
      </c>
      <c r="D543" t="str">
        <f>"LS MU 205626"</f>
        <v>LS MU 205626</v>
      </c>
      <c r="E543" t="str">
        <f t="shared" si="78"/>
        <v>LS</v>
      </c>
      <c r="F543" t="s">
        <v>16</v>
      </c>
      <c r="G543" t="s">
        <v>14</v>
      </c>
      <c r="H543">
        <v>225</v>
      </c>
      <c r="I543" t="str">
        <f>"Art UK"</f>
        <v>Art UK</v>
      </c>
      <c r="J543" t="str">
        <f>"Subscriptions-General Grants &amp; Subscriptions Grants And Subscriptions Supplies And Services Museums Central Museums &amp; Arts"</f>
        <v>Subscriptions-General Grants &amp; Subscriptions Grants And Subscriptions Supplies And Services Museums Central Museums &amp; Arts</v>
      </c>
    </row>
    <row r="544" spans="1:10" x14ac:dyDescent="0.35">
      <c r="A544" t="str">
        <f t="shared" si="85"/>
        <v>JUL</v>
      </c>
      <c r="B544" t="str">
        <f t="shared" si="76"/>
        <v>20</v>
      </c>
      <c r="C544" t="str">
        <f t="shared" si="77"/>
        <v>2020/21</v>
      </c>
      <c r="D544" t="str">
        <f>"LS GV 205560"</f>
        <v>LS GV 205560</v>
      </c>
      <c r="E544" t="str">
        <f t="shared" si="78"/>
        <v>LS</v>
      </c>
      <c r="F544" t="s">
        <v>17</v>
      </c>
      <c r="G544" t="s">
        <v>18</v>
      </c>
      <c r="H544">
        <v>30</v>
      </c>
      <c r="I544" t="str">
        <f>"Sir George Martin Trust"</f>
        <v>Sir George Martin Trust</v>
      </c>
      <c r="J544" t="str">
        <f>"Conference Expenses - Officers Expenses Supplies And Services Policy and Voluntary Sector Economy and Investment"</f>
        <v>Conference Expenses - Officers Expenses Supplies And Services Policy and Voluntary Sector Economy and Investment</v>
      </c>
    </row>
    <row r="545" spans="1:10" x14ac:dyDescent="0.35">
      <c r="A545" t="str">
        <f t="shared" si="85"/>
        <v>JUL</v>
      </c>
      <c r="B545" t="str">
        <f t="shared" si="76"/>
        <v>20</v>
      </c>
      <c r="C545" t="str">
        <f t="shared" si="77"/>
        <v>2020/21</v>
      </c>
      <c r="D545" t="str">
        <f>"LS GV 205552"</f>
        <v>LS GV 205552</v>
      </c>
      <c r="E545" t="str">
        <f t="shared" si="78"/>
        <v>LS</v>
      </c>
      <c r="F545" t="s">
        <v>17</v>
      </c>
      <c r="G545" t="s">
        <v>18</v>
      </c>
      <c r="H545">
        <v>73750</v>
      </c>
      <c r="I545" t="str">
        <f>"Calderdale Citizens Advice Bureau"</f>
        <v>Calderdale Citizens Advice Bureau</v>
      </c>
      <c r="J545" t="str">
        <f>"A&amp;I Contract - Calderdale Citizens Advice Bureau Grants And Subscriptions Supplies And Services Policy and Voluntary Sector Economy and Investme"</f>
        <v>A&amp;I Contract - Calderdale Citizens Advice Bureau Grants And Subscriptions Supplies And Services Policy and Voluntary Sector Economy and Investme</v>
      </c>
    </row>
    <row r="546" spans="1:10" x14ac:dyDescent="0.35">
      <c r="A546" t="str">
        <f t="shared" si="85"/>
        <v>JUL</v>
      </c>
      <c r="B546" t="str">
        <f t="shared" si="76"/>
        <v>20</v>
      </c>
      <c r="C546" t="str">
        <f t="shared" si="77"/>
        <v>2020/21</v>
      </c>
      <c r="D546" t="str">
        <f>"LS GV 205550"</f>
        <v>LS GV 205550</v>
      </c>
      <c r="E546" t="str">
        <f t="shared" si="78"/>
        <v>LS</v>
      </c>
      <c r="F546" t="s">
        <v>17</v>
      </c>
      <c r="G546" t="s">
        <v>18</v>
      </c>
      <c r="H546">
        <v>3515</v>
      </c>
      <c r="I546" t="str">
        <f>"Calderdale Citizens Advice Bureau"</f>
        <v>Calderdale Citizens Advice Bureau</v>
      </c>
      <c r="J546" t="str">
        <f>"A&amp;I Grant - Calderdale Citizens Advice Bureau Grants And Subscriptions Supplies And Services Policy and Voluntary Sector Economy and Investment"</f>
        <v>A&amp;I Grant - Calderdale Citizens Advice Bureau Grants And Subscriptions Supplies And Services Policy and Voluntary Sector Economy and Investment</v>
      </c>
    </row>
    <row r="547" spans="1:10" x14ac:dyDescent="0.35">
      <c r="A547" t="str">
        <f t="shared" si="85"/>
        <v>JUL</v>
      </c>
      <c r="B547" t="str">
        <f t="shared" si="76"/>
        <v>20</v>
      </c>
      <c r="C547" t="str">
        <f t="shared" si="77"/>
        <v>2020/21</v>
      </c>
      <c r="D547" t="str">
        <f>"LS GV 205009"</f>
        <v>LS GV 205009</v>
      </c>
      <c r="E547" t="str">
        <f t="shared" si="78"/>
        <v>LS</v>
      </c>
      <c r="F547" t="s">
        <v>17</v>
      </c>
      <c r="G547" t="s">
        <v>18</v>
      </c>
      <c r="H547">
        <v>31250</v>
      </c>
      <c r="I547" t="str">
        <f>"North Bank Forum for Voluntary Organisations Ltd"</f>
        <v>North Bank Forum for Voluntary Organisations Ltd</v>
      </c>
      <c r="J547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548" spans="1:10" x14ac:dyDescent="0.35">
      <c r="A548" t="str">
        <f t="shared" si="85"/>
        <v>JUL</v>
      </c>
      <c r="B548" t="str">
        <f t="shared" si="76"/>
        <v>20</v>
      </c>
      <c r="C548" t="str">
        <f t="shared" si="77"/>
        <v>2020/21</v>
      </c>
      <c r="D548" t="str">
        <f>"LS GV 205017"</f>
        <v>LS GV 205017</v>
      </c>
      <c r="E548" t="str">
        <f t="shared" si="78"/>
        <v>LS</v>
      </c>
      <c r="F548" t="s">
        <v>17</v>
      </c>
      <c r="G548" t="s">
        <v>18</v>
      </c>
      <c r="H548">
        <v>3750</v>
      </c>
      <c r="I548" t="str">
        <f>"West Yorkshire Community Accounting Service"</f>
        <v>West Yorkshire Community Accounting Service</v>
      </c>
      <c r="J548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549" spans="1:10" x14ac:dyDescent="0.35">
      <c r="A549" t="str">
        <f t="shared" si="85"/>
        <v>JUL</v>
      </c>
      <c r="B549" t="str">
        <f t="shared" si="76"/>
        <v>20</v>
      </c>
      <c r="C549" t="str">
        <f t="shared" si="77"/>
        <v>2020/21</v>
      </c>
      <c r="D549" t="str">
        <f>"LS GV 205553"</f>
        <v>LS GV 205553</v>
      </c>
      <c r="E549" t="str">
        <f t="shared" si="78"/>
        <v>LS</v>
      </c>
      <c r="F549" t="s">
        <v>17</v>
      </c>
      <c r="G549" t="s">
        <v>18</v>
      </c>
      <c r="H549">
        <v>6069.5</v>
      </c>
      <c r="I549" t="str">
        <f>"Disability Advice Resource Team (DART)"</f>
        <v>Disability Advice Resource Team (DART)</v>
      </c>
      <c r="J549" t="str">
        <f>"A&amp;I Grant - D.A.R.T Grants And Subscriptions Supplies And Services Policy and Voluntary Sector Economy and Investment"</f>
        <v>A&amp;I Grant - D.A.R.T Grants And Subscriptions Supplies And Services Policy and Voluntary Sector Economy and Investment</v>
      </c>
    </row>
    <row r="550" spans="1:10" x14ac:dyDescent="0.35">
      <c r="A550" t="str">
        <f t="shared" si="85"/>
        <v>JUL</v>
      </c>
      <c r="B550" t="str">
        <f t="shared" si="76"/>
        <v>20</v>
      </c>
      <c r="C550" t="str">
        <f t="shared" si="77"/>
        <v>2020/21</v>
      </c>
      <c r="D550" t="str">
        <f>"LS GV 205551"</f>
        <v>LS GV 205551</v>
      </c>
      <c r="E550" t="str">
        <f t="shared" si="78"/>
        <v>LS</v>
      </c>
      <c r="F550" t="s">
        <v>17</v>
      </c>
      <c r="G550" t="s">
        <v>18</v>
      </c>
      <c r="H550">
        <v>9165.5</v>
      </c>
      <c r="I550" t="str">
        <f>"Healthy Minds Calderdale Wellbeing"</f>
        <v>Healthy Minds Calderdale Wellbeing</v>
      </c>
      <c r="J550" t="str">
        <f>"A&amp;I Grant - Healthy Minds Grants And Subscriptions Supplies And Services Policy and Voluntary Sector Economy and Investment"</f>
        <v>A&amp;I Grant - Healthy Minds Grants And Subscriptions Supplies And Services Policy and Voluntary Sector Economy and Investment</v>
      </c>
    </row>
    <row r="551" spans="1:10" x14ac:dyDescent="0.35">
      <c r="A551" t="str">
        <f t="shared" si="85"/>
        <v>JUL</v>
      </c>
      <c r="B551" t="str">
        <f t="shared" si="76"/>
        <v>20</v>
      </c>
      <c r="C551" t="str">
        <f t="shared" si="77"/>
        <v>2020/21</v>
      </c>
      <c r="D551" t="str">
        <f>"LS GV 205555"</f>
        <v>LS GV 205555</v>
      </c>
      <c r="E551" t="str">
        <f t="shared" si="78"/>
        <v>LS</v>
      </c>
      <c r="F551" t="s">
        <v>17</v>
      </c>
      <c r="G551" t="s">
        <v>18</v>
      </c>
      <c r="H551">
        <v>33125</v>
      </c>
      <c r="I551" t="str">
        <f>"Healthwatch Kirklees"</f>
        <v>Healthwatch Kirklees</v>
      </c>
      <c r="J551" t="str">
        <f>"LHW - Local Healthwatch / ICAS Delivery Grants Grants And Subscriptions Supplies And Services Policy and Voluntary Sector Economy and Investment"</f>
        <v>LHW - Local Healthwatch / ICAS Delivery Grants Grants And Subscriptions Supplies And Services Policy and Voluntary Sector Economy and Investment</v>
      </c>
    </row>
    <row r="552" spans="1:10" x14ac:dyDescent="0.35">
      <c r="A552" t="str">
        <f t="shared" si="85"/>
        <v>JUL</v>
      </c>
      <c r="B552" t="str">
        <f t="shared" si="76"/>
        <v>20</v>
      </c>
      <c r="C552" t="str">
        <f t="shared" si="77"/>
        <v>2020/21</v>
      </c>
      <c r="D552" t="str">
        <f>"LS GV 205391"</f>
        <v>LS GV 205391</v>
      </c>
      <c r="E552" t="str">
        <f t="shared" si="78"/>
        <v>LS</v>
      </c>
      <c r="F552" t="s">
        <v>17</v>
      </c>
      <c r="G552" t="s">
        <v>18</v>
      </c>
      <c r="H552">
        <v>3500</v>
      </c>
      <c r="I552" t="str">
        <f>"Handmade Parade CIC"</f>
        <v>Handmade Parade CIC</v>
      </c>
      <c r="J552" t="str">
        <f>"CO - Handmade Parade CIC Grants And Subscriptions Supplies And Services Policy and Voluntary Sector Economy and Investment"</f>
        <v>CO - Handmade Parade CIC Grants And Subscriptions Supplies And Services Policy and Voluntary Sector Economy and Investment</v>
      </c>
    </row>
    <row r="553" spans="1:10" x14ac:dyDescent="0.35">
      <c r="A553" t="str">
        <f t="shared" si="85"/>
        <v>JUL</v>
      </c>
      <c r="B553" t="str">
        <f t="shared" si="76"/>
        <v>20</v>
      </c>
      <c r="C553" t="str">
        <f t="shared" si="77"/>
        <v>2020/21</v>
      </c>
      <c r="D553" t="str">
        <f>"LS GV 205548"</f>
        <v>LS GV 205548</v>
      </c>
      <c r="E553" t="str">
        <f t="shared" si="78"/>
        <v>LS</v>
      </c>
      <c r="F553" t="s">
        <v>17</v>
      </c>
      <c r="G553" t="s">
        <v>18</v>
      </c>
      <c r="H553">
        <v>5408.75</v>
      </c>
      <c r="I553" t="str">
        <f>"Healthy Minds Calderdale Wellbeing"</f>
        <v>Healthy Minds Calderdale Wellbeing</v>
      </c>
      <c r="J553" t="str">
        <f>"LF - Healthy Minds Grants And Subscriptions Supplies And Services Policy and Voluntary Sector Economy and Investment"</f>
        <v>LF - Healthy Minds Grants And Subscriptions Supplies And Services Policy and Voluntary Sector Economy and Investment</v>
      </c>
    </row>
    <row r="554" spans="1:10" x14ac:dyDescent="0.35">
      <c r="A554" t="str">
        <f t="shared" si="85"/>
        <v>JUL</v>
      </c>
      <c r="B554" t="str">
        <f t="shared" si="76"/>
        <v>20</v>
      </c>
      <c r="C554" t="str">
        <f t="shared" si="77"/>
        <v>2020/21</v>
      </c>
      <c r="D554" t="str">
        <f>"LS GV 205549"</f>
        <v>LS GV 205549</v>
      </c>
      <c r="E554" t="str">
        <f t="shared" si="78"/>
        <v>LS</v>
      </c>
      <c r="F554" t="s">
        <v>17</v>
      </c>
      <c r="G554" t="s">
        <v>18</v>
      </c>
      <c r="H554">
        <v>4500</v>
      </c>
      <c r="I554" t="str">
        <f>"Calderdale Smartmove"</f>
        <v>Calderdale Smartmove</v>
      </c>
      <c r="J554" t="str">
        <f>"LF - Calderdale Smartmove Grants And Subscriptions Supplies And Services Policy and Voluntary Sector Economy and Investment"</f>
        <v>LF - Calderdale Smartmove Grants And Subscriptions Supplies And Services Policy and Voluntary Sector Economy and Investment</v>
      </c>
    </row>
    <row r="555" spans="1:10" x14ac:dyDescent="0.35">
      <c r="A555" t="str">
        <f t="shared" si="85"/>
        <v>JUL</v>
      </c>
      <c r="B555" t="str">
        <f t="shared" si="76"/>
        <v>20</v>
      </c>
      <c r="C555" t="str">
        <f t="shared" si="77"/>
        <v>2020/21</v>
      </c>
      <c r="D555" t="str">
        <f>"TF CI 000589"</f>
        <v>TF CI 000589</v>
      </c>
      <c r="E555" t="str">
        <f t="shared" si="78"/>
        <v>TF</v>
      </c>
      <c r="F555" t="s">
        <v>17</v>
      </c>
      <c r="G555" t="s">
        <v>18</v>
      </c>
      <c r="H555">
        <v>108.21</v>
      </c>
      <c r="I555" t="str">
        <f>"The Piece Hall Trust"</f>
        <v>The Piece Hall Trust</v>
      </c>
      <c r="J555" t="str">
        <f>"Rent Rent And Rates Premises And Related Expenses Halifax TIC Economy and Investment"</f>
        <v>Rent Rent And Rates Premises And Related Expenses Halifax TIC Economy and Investment</v>
      </c>
    </row>
    <row r="556" spans="1:10" x14ac:dyDescent="0.35">
      <c r="A556" t="str">
        <f t="shared" si="85"/>
        <v>JUL</v>
      </c>
      <c r="B556" t="str">
        <f t="shared" si="76"/>
        <v>20</v>
      </c>
      <c r="C556" t="str">
        <f t="shared" si="77"/>
        <v>2020/21</v>
      </c>
      <c r="D556" t="str">
        <f>"LS GV 205571"</f>
        <v>LS GV 205571</v>
      </c>
      <c r="E556" t="str">
        <f t="shared" si="78"/>
        <v>LS</v>
      </c>
      <c r="F556" t="s">
        <v>17</v>
      </c>
      <c r="G556" t="s">
        <v>18</v>
      </c>
      <c r="H556">
        <v>450</v>
      </c>
      <c r="I556" t="str">
        <f>"Himmat Limited"</f>
        <v>Himmat Limited</v>
      </c>
      <c r="J556" t="str">
        <f>"Active Engagement Miscellaneous Expenses Supplies And Services Business Rates Pool - Inclusive Economy Economy and Investment"</f>
        <v>Active Engagement Miscellaneous Expenses Supplies And Services Business Rates Pool - Inclusive Economy Economy and Investment</v>
      </c>
    </row>
    <row r="557" spans="1:10" x14ac:dyDescent="0.35">
      <c r="A557" t="str">
        <f t="shared" si="85"/>
        <v>JUL</v>
      </c>
      <c r="B557" t="str">
        <f t="shared" si="76"/>
        <v>20</v>
      </c>
      <c r="C557" t="str">
        <f t="shared" si="77"/>
        <v>2020/21</v>
      </c>
      <c r="D557" t="str">
        <f>"PL RS 020967"</f>
        <v>PL RS 020967</v>
      </c>
      <c r="E557" t="str">
        <f t="shared" si="78"/>
        <v>PL</v>
      </c>
      <c r="F557" t="s">
        <v>17</v>
      </c>
      <c r="G557" t="s">
        <v>18</v>
      </c>
      <c r="H557">
        <v>48.8</v>
      </c>
      <c r="I557" t="str">
        <f t="shared" ref="I557:I568" si="86">"Newground CIC"</f>
        <v>Newground CIC</v>
      </c>
      <c r="J557" t="str">
        <f t="shared" ref="J557:J568" si="87">"Misc Expenses Miscellaneous Expenses Supplies And Services Works Better (ESF) Economy and Investment"</f>
        <v>Misc Expenses Miscellaneous Expenses Supplies And Services Works Better (ESF) Economy and Investment</v>
      </c>
    </row>
    <row r="558" spans="1:10" x14ac:dyDescent="0.35">
      <c r="A558" t="str">
        <f t="shared" si="85"/>
        <v>JUL</v>
      </c>
      <c r="B558" t="str">
        <f t="shared" si="76"/>
        <v>20</v>
      </c>
      <c r="C558" t="str">
        <f t="shared" si="77"/>
        <v>2020/21</v>
      </c>
      <c r="D558" t="str">
        <f>"PL RS 020967"</f>
        <v>PL RS 020967</v>
      </c>
      <c r="E558" t="str">
        <f t="shared" si="78"/>
        <v>PL</v>
      </c>
      <c r="F558" t="s">
        <v>17</v>
      </c>
      <c r="G558" t="s">
        <v>18</v>
      </c>
      <c r="H558">
        <v>20</v>
      </c>
      <c r="I558" t="str">
        <f t="shared" si="86"/>
        <v>Newground CIC</v>
      </c>
      <c r="J558" t="str">
        <f t="shared" si="87"/>
        <v>Misc Expenses Miscellaneous Expenses Supplies And Services Works Better (ESF) Economy and Investment</v>
      </c>
    </row>
    <row r="559" spans="1:10" x14ac:dyDescent="0.35">
      <c r="A559" t="str">
        <f t="shared" si="85"/>
        <v>JUL</v>
      </c>
      <c r="B559" t="str">
        <f t="shared" si="76"/>
        <v>20</v>
      </c>
      <c r="C559" t="str">
        <f t="shared" si="77"/>
        <v>2020/21</v>
      </c>
      <c r="D559" t="str">
        <f>"PL RS 020967"</f>
        <v>PL RS 020967</v>
      </c>
      <c r="E559" t="str">
        <f t="shared" si="78"/>
        <v>PL</v>
      </c>
      <c r="F559" t="s">
        <v>17</v>
      </c>
      <c r="G559" t="s">
        <v>18</v>
      </c>
      <c r="H559">
        <v>48.8</v>
      </c>
      <c r="I559" t="str">
        <f t="shared" si="86"/>
        <v>Newground CIC</v>
      </c>
      <c r="J559" t="str">
        <f t="shared" si="87"/>
        <v>Misc Expenses Miscellaneous Expenses Supplies And Services Works Better (ESF) Economy and Investment</v>
      </c>
    </row>
    <row r="560" spans="1:10" x14ac:dyDescent="0.35">
      <c r="A560" t="str">
        <f t="shared" si="85"/>
        <v>JUL</v>
      </c>
      <c r="B560" t="str">
        <f t="shared" si="76"/>
        <v>20</v>
      </c>
      <c r="C560" t="str">
        <f t="shared" si="77"/>
        <v>2020/21</v>
      </c>
      <c r="D560" t="str">
        <f>"PL RS 020967"</f>
        <v>PL RS 020967</v>
      </c>
      <c r="E560" t="str">
        <f t="shared" si="78"/>
        <v>PL</v>
      </c>
      <c r="F560" t="s">
        <v>17</v>
      </c>
      <c r="G560" t="s">
        <v>18</v>
      </c>
      <c r="H560">
        <v>179</v>
      </c>
      <c r="I560" t="str">
        <f t="shared" si="86"/>
        <v>Newground CIC</v>
      </c>
      <c r="J560" t="str">
        <f t="shared" si="87"/>
        <v>Misc Expenses Miscellaneous Expenses Supplies And Services Works Better (ESF) Economy and Investment</v>
      </c>
    </row>
    <row r="561" spans="1:10" x14ac:dyDescent="0.35">
      <c r="A561" t="str">
        <f t="shared" si="85"/>
        <v>JUL</v>
      </c>
      <c r="B561" t="str">
        <f t="shared" si="76"/>
        <v>20</v>
      </c>
      <c r="C561" t="str">
        <f t="shared" si="77"/>
        <v>2020/21</v>
      </c>
      <c r="D561" t="str">
        <f>"PL RS 020967"</f>
        <v>PL RS 020967</v>
      </c>
      <c r="E561" t="str">
        <f t="shared" si="78"/>
        <v>PL</v>
      </c>
      <c r="F561" t="s">
        <v>17</v>
      </c>
      <c r="G561" t="s">
        <v>18</v>
      </c>
      <c r="H561">
        <v>75.5</v>
      </c>
      <c r="I561" t="str">
        <f t="shared" si="86"/>
        <v>Newground CIC</v>
      </c>
      <c r="J561" t="str">
        <f t="shared" si="87"/>
        <v>Misc Expenses Miscellaneous Expenses Supplies And Services Works Better (ESF) Economy and Investment</v>
      </c>
    </row>
    <row r="562" spans="1:10" x14ac:dyDescent="0.35">
      <c r="A562" t="str">
        <f t="shared" si="85"/>
        <v>JUL</v>
      </c>
      <c r="B562" t="str">
        <f t="shared" si="76"/>
        <v>20</v>
      </c>
      <c r="C562" t="str">
        <f t="shared" si="77"/>
        <v>2020/21</v>
      </c>
      <c r="D562" t="str">
        <f>"PL RS 020965"</f>
        <v>PL RS 020965</v>
      </c>
      <c r="E562" t="str">
        <f t="shared" si="78"/>
        <v>PL</v>
      </c>
      <c r="F562" t="s">
        <v>17</v>
      </c>
      <c r="G562" t="s">
        <v>18</v>
      </c>
      <c r="H562">
        <v>76.400000000000006</v>
      </c>
      <c r="I562" t="str">
        <f t="shared" si="86"/>
        <v>Newground CIC</v>
      </c>
      <c r="J562" t="str">
        <f t="shared" si="87"/>
        <v>Misc Expenses Miscellaneous Expenses Supplies And Services Works Better (ESF) Economy and Investment</v>
      </c>
    </row>
    <row r="563" spans="1:10" x14ac:dyDescent="0.35">
      <c r="A563" t="str">
        <f t="shared" si="85"/>
        <v>JUL</v>
      </c>
      <c r="B563" t="str">
        <f t="shared" si="76"/>
        <v>20</v>
      </c>
      <c r="C563" t="str">
        <f t="shared" si="77"/>
        <v>2020/21</v>
      </c>
      <c r="D563" t="str">
        <f>"PL RS 020968"</f>
        <v>PL RS 020968</v>
      </c>
      <c r="E563" t="str">
        <f t="shared" si="78"/>
        <v>PL</v>
      </c>
      <c r="F563" t="s">
        <v>17</v>
      </c>
      <c r="G563" t="s">
        <v>18</v>
      </c>
      <c r="H563">
        <v>77.2</v>
      </c>
      <c r="I563" t="str">
        <f t="shared" si="86"/>
        <v>Newground CIC</v>
      </c>
      <c r="J563" t="str">
        <f t="shared" si="87"/>
        <v>Misc Expenses Miscellaneous Expenses Supplies And Services Works Better (ESF) Economy and Investment</v>
      </c>
    </row>
    <row r="564" spans="1:10" x14ac:dyDescent="0.35">
      <c r="A564" t="str">
        <f t="shared" si="85"/>
        <v>JUL</v>
      </c>
      <c r="B564" t="str">
        <f t="shared" si="76"/>
        <v>20</v>
      </c>
      <c r="C564" t="str">
        <f t="shared" si="77"/>
        <v>2020/21</v>
      </c>
      <c r="D564" t="str">
        <f>"PL RS 020859"</f>
        <v>PL RS 020859</v>
      </c>
      <c r="E564" t="str">
        <f t="shared" si="78"/>
        <v>PL</v>
      </c>
      <c r="F564" t="s">
        <v>17</v>
      </c>
      <c r="G564" t="s">
        <v>18</v>
      </c>
      <c r="H564">
        <v>49</v>
      </c>
      <c r="I564" t="str">
        <f t="shared" si="86"/>
        <v>Newground CIC</v>
      </c>
      <c r="J564" t="str">
        <f t="shared" si="87"/>
        <v>Misc Expenses Miscellaneous Expenses Supplies And Services Works Better (ESF) Economy and Investment</v>
      </c>
    </row>
    <row r="565" spans="1:10" x14ac:dyDescent="0.35">
      <c r="A565" t="str">
        <f t="shared" si="85"/>
        <v>JUL</v>
      </c>
      <c r="B565" t="str">
        <f t="shared" si="76"/>
        <v>20</v>
      </c>
      <c r="C565" t="str">
        <f t="shared" si="77"/>
        <v>2020/21</v>
      </c>
      <c r="D565" t="str">
        <f>"PL RS 020968"</f>
        <v>PL RS 020968</v>
      </c>
      <c r="E565" t="str">
        <f t="shared" si="78"/>
        <v>PL</v>
      </c>
      <c r="F565" t="s">
        <v>17</v>
      </c>
      <c r="G565" t="s">
        <v>18</v>
      </c>
      <c r="H565">
        <v>27.99</v>
      </c>
      <c r="I565" t="str">
        <f t="shared" si="86"/>
        <v>Newground CIC</v>
      </c>
      <c r="J565" t="str">
        <f t="shared" si="87"/>
        <v>Misc Expenses Miscellaneous Expenses Supplies And Services Works Better (ESF) Economy and Investment</v>
      </c>
    </row>
    <row r="566" spans="1:10" x14ac:dyDescent="0.35">
      <c r="A566" t="str">
        <f t="shared" si="85"/>
        <v>JUL</v>
      </c>
      <c r="B566" t="str">
        <f t="shared" si="76"/>
        <v>20</v>
      </c>
      <c r="C566" t="str">
        <f t="shared" si="77"/>
        <v>2020/21</v>
      </c>
      <c r="D566" t="str">
        <f>"PL RS 020968"</f>
        <v>PL RS 020968</v>
      </c>
      <c r="E566" t="str">
        <f t="shared" si="78"/>
        <v>PL</v>
      </c>
      <c r="F566" t="s">
        <v>17</v>
      </c>
      <c r="G566" t="s">
        <v>18</v>
      </c>
      <c r="H566">
        <v>49</v>
      </c>
      <c r="I566" t="str">
        <f t="shared" si="86"/>
        <v>Newground CIC</v>
      </c>
      <c r="J566" t="str">
        <f t="shared" si="87"/>
        <v>Misc Expenses Miscellaneous Expenses Supplies And Services Works Better (ESF) Economy and Investment</v>
      </c>
    </row>
    <row r="567" spans="1:10" x14ac:dyDescent="0.35">
      <c r="A567" t="str">
        <f t="shared" si="85"/>
        <v>JUL</v>
      </c>
      <c r="B567" t="str">
        <f t="shared" si="76"/>
        <v>20</v>
      </c>
      <c r="C567" t="str">
        <f t="shared" si="77"/>
        <v>2020/21</v>
      </c>
      <c r="D567" t="str">
        <f>"PL RS 020968"</f>
        <v>PL RS 020968</v>
      </c>
      <c r="E567" t="str">
        <f t="shared" si="78"/>
        <v>PL</v>
      </c>
      <c r="F567" t="s">
        <v>17</v>
      </c>
      <c r="G567" t="s">
        <v>18</v>
      </c>
      <c r="H567">
        <v>35</v>
      </c>
      <c r="I567" t="str">
        <f t="shared" si="86"/>
        <v>Newground CIC</v>
      </c>
      <c r="J567" t="str">
        <f t="shared" si="87"/>
        <v>Misc Expenses Miscellaneous Expenses Supplies And Services Works Better (ESF) Economy and Investment</v>
      </c>
    </row>
    <row r="568" spans="1:10" x14ac:dyDescent="0.35">
      <c r="A568" t="str">
        <f t="shared" si="85"/>
        <v>JUL</v>
      </c>
      <c r="B568" t="str">
        <f t="shared" si="76"/>
        <v>20</v>
      </c>
      <c r="C568" t="str">
        <f t="shared" si="77"/>
        <v>2020/21</v>
      </c>
      <c r="D568" t="str">
        <f>"PL RS 020968"</f>
        <v>PL RS 020968</v>
      </c>
      <c r="E568" t="str">
        <f t="shared" si="78"/>
        <v>PL</v>
      </c>
      <c r="F568" t="s">
        <v>17</v>
      </c>
      <c r="G568" t="s">
        <v>18</v>
      </c>
      <c r="H568">
        <v>32</v>
      </c>
      <c r="I568" t="str">
        <f t="shared" si="86"/>
        <v>Newground CIC</v>
      </c>
      <c r="J568" t="str">
        <f t="shared" si="87"/>
        <v>Misc Expenses Miscellaneous Expenses Supplies And Services Works Better (ESF) Economy and Investment</v>
      </c>
    </row>
    <row r="569" spans="1:10" x14ac:dyDescent="0.35">
      <c r="A569" t="str">
        <f t="shared" si="85"/>
        <v>JUL</v>
      </c>
      <c r="B569" t="str">
        <f t="shared" si="76"/>
        <v>20</v>
      </c>
      <c r="C569" t="str">
        <f t="shared" si="77"/>
        <v>2020/21</v>
      </c>
      <c r="D569" t="str">
        <f>"PL RS 020973"</f>
        <v>PL RS 020973</v>
      </c>
      <c r="E569" t="str">
        <f t="shared" si="78"/>
        <v>PL</v>
      </c>
      <c r="F569" t="s">
        <v>17</v>
      </c>
      <c r="G569" t="s">
        <v>18</v>
      </c>
      <c r="H569">
        <v>100</v>
      </c>
      <c r="I569" t="str">
        <f>"Todmorden In Bloom"</f>
        <v>Todmorden In Bloom</v>
      </c>
      <c r="J569" t="str">
        <f>"Maintenance Of Grounds Repairs Alterations And Maintenance Of Buildings Fixed Plant And Grounds Premises And Related Expenses Regen - Grounds Ma"</f>
        <v>Maintenance Of Grounds Repairs Alterations And Maintenance Of Buildings Fixed Plant And Grounds Premises And Related Expenses Regen - Grounds Ma</v>
      </c>
    </row>
    <row r="570" spans="1:10" x14ac:dyDescent="0.35">
      <c r="A570" t="str">
        <f t="shared" si="85"/>
        <v>JUL</v>
      </c>
      <c r="B570" t="str">
        <f t="shared" si="76"/>
        <v>20</v>
      </c>
      <c r="C570" t="str">
        <f t="shared" si="77"/>
        <v>2020/21</v>
      </c>
      <c r="D570" t="str">
        <f>"SC CK 213020"</f>
        <v>SC CK 213020</v>
      </c>
      <c r="E570" t="str">
        <f t="shared" si="78"/>
        <v>SC</v>
      </c>
      <c r="F570" t="s">
        <v>21</v>
      </c>
      <c r="G570" t="s">
        <v>22</v>
      </c>
      <c r="H570">
        <v>9567</v>
      </c>
      <c r="I570" t="str">
        <f>"Womencentre Ltd"</f>
        <v>Womencentre Ltd</v>
      </c>
      <c r="J570" t="str">
        <f>"AP post - Womans refuge Voluntary Associations Agency And Contracted Services Domestic Abuse Integrated commissioning - children's"</f>
        <v>AP post - Womans refuge Voluntary Associations Agency And Contracted Services Domestic Abuse Integrated commissioning - children's</v>
      </c>
    </row>
    <row r="571" spans="1:10" x14ac:dyDescent="0.35">
      <c r="A571" t="str">
        <f t="shared" si="85"/>
        <v>JUL</v>
      </c>
      <c r="B571" t="str">
        <f t="shared" si="76"/>
        <v>20</v>
      </c>
      <c r="C571" t="str">
        <f t="shared" si="77"/>
        <v>2020/21</v>
      </c>
      <c r="D571" t="str">
        <f>"SC CK 215735"</f>
        <v>SC CK 215735</v>
      </c>
      <c r="E571" t="str">
        <f t="shared" si="78"/>
        <v>SC</v>
      </c>
      <c r="F571" t="s">
        <v>21</v>
      </c>
      <c r="G571" t="s">
        <v>22</v>
      </c>
      <c r="H571">
        <v>71047.5</v>
      </c>
      <c r="I571" t="str">
        <f>"Womencentre Ltd"</f>
        <v>Womencentre Ltd</v>
      </c>
      <c r="J571" t="str">
        <f>"Contract Voluntary Associations Agency And Contracted Services Domestic Abuse Integrated commissioning - children's"</f>
        <v>Contract Voluntary Associations Agency And Contracted Services Domestic Abuse Integrated commissioning - children's</v>
      </c>
    </row>
    <row r="572" spans="1:10" x14ac:dyDescent="0.35">
      <c r="A572" t="str">
        <f t="shared" si="85"/>
        <v>JUL</v>
      </c>
      <c r="B572" t="str">
        <f t="shared" si="76"/>
        <v>20</v>
      </c>
      <c r="C572" t="str">
        <f t="shared" si="77"/>
        <v>2020/21</v>
      </c>
      <c r="D572" t="str">
        <f>"SC DC 215420"</f>
        <v>SC DC 215420</v>
      </c>
      <c r="E572" t="str">
        <f t="shared" si="78"/>
        <v>SC</v>
      </c>
      <c r="F572" t="s">
        <v>21</v>
      </c>
      <c r="G572" t="s">
        <v>22</v>
      </c>
      <c r="H572">
        <v>79.2</v>
      </c>
      <c r="I572" t="str">
        <f>"The Mayfield Trust"</f>
        <v>The Mayfield Trust</v>
      </c>
      <c r="J572" t="str">
        <f>"Personal Care Private Contractors Agency And Contracted Services Short Breaks Integrated commissioning - children's"</f>
        <v>Personal Care Private Contractors Agency And Contracted Services Short Breaks Integrated commissioning - children's</v>
      </c>
    </row>
    <row r="573" spans="1:10" x14ac:dyDescent="0.35">
      <c r="A573" t="str">
        <f t="shared" si="85"/>
        <v>JUL</v>
      </c>
      <c r="B573" t="str">
        <f t="shared" si="76"/>
        <v>20</v>
      </c>
      <c r="C573" t="str">
        <f t="shared" si="77"/>
        <v>2020/21</v>
      </c>
      <c r="D573" t="str">
        <f>"SC DC 215418"</f>
        <v>SC DC 215418</v>
      </c>
      <c r="E573" t="str">
        <f t="shared" si="78"/>
        <v>SC</v>
      </c>
      <c r="F573" t="s">
        <v>21</v>
      </c>
      <c r="G573" t="s">
        <v>22</v>
      </c>
      <c r="H573">
        <v>197.76</v>
      </c>
      <c r="I573" t="str">
        <f>"Carers Trust Mid Yorkshire"</f>
        <v>Carers Trust Mid Yorkshire</v>
      </c>
      <c r="J573" t="str">
        <f t="shared" ref="J573:J584" si="88">"Outreach Private Contractors Agency And Contracted Services Short Breaks Integrated commissioning - children's"</f>
        <v>Outreach Private Contractors Agency And Contracted Services Short Breaks Integrated commissioning - children's</v>
      </c>
    </row>
    <row r="574" spans="1:10" x14ac:dyDescent="0.35">
      <c r="A574" t="str">
        <f t="shared" si="85"/>
        <v>JUL</v>
      </c>
      <c r="B574" t="str">
        <f t="shared" si="76"/>
        <v>20</v>
      </c>
      <c r="C574" t="str">
        <f t="shared" si="77"/>
        <v>2020/21</v>
      </c>
      <c r="D574" t="str">
        <f>"SC DC 215419"</f>
        <v>SC DC 215419</v>
      </c>
      <c r="E574" t="str">
        <f t="shared" si="78"/>
        <v>SC</v>
      </c>
      <c r="F574" t="s">
        <v>21</v>
      </c>
      <c r="G574" t="s">
        <v>22</v>
      </c>
      <c r="H574">
        <v>197.76</v>
      </c>
      <c r="I574" t="str">
        <f>"Carers Trust Mid Yorkshire"</f>
        <v>Carers Trust Mid Yorkshire</v>
      </c>
      <c r="J574" t="str">
        <f t="shared" si="88"/>
        <v>Outreach Private Contractors Agency And Contracted Services Short Breaks Integrated commissioning - children's</v>
      </c>
    </row>
    <row r="575" spans="1:10" x14ac:dyDescent="0.35">
      <c r="A575" t="str">
        <f t="shared" si="85"/>
        <v>JUL</v>
      </c>
      <c r="B575" t="str">
        <f t="shared" si="76"/>
        <v>20</v>
      </c>
      <c r="C575" t="str">
        <f t="shared" si="77"/>
        <v>2020/21</v>
      </c>
      <c r="D575" t="str">
        <f>"SC DC 215358"</f>
        <v>SC DC 215358</v>
      </c>
      <c r="E575" t="str">
        <f t="shared" si="78"/>
        <v>SC</v>
      </c>
      <c r="F575" t="s">
        <v>21</v>
      </c>
      <c r="G575" t="s">
        <v>22</v>
      </c>
      <c r="H575">
        <v>95.04</v>
      </c>
      <c r="I575" t="str">
        <f t="shared" ref="I575:I606" si="89">"The Mayfield Trust"</f>
        <v>The Mayfield Trust</v>
      </c>
      <c r="J575" t="str">
        <f t="shared" si="88"/>
        <v>Outreach Private Contractors Agency And Contracted Services Short Breaks Integrated commissioning - children's</v>
      </c>
    </row>
    <row r="576" spans="1:10" x14ac:dyDescent="0.35">
      <c r="A576" t="str">
        <f t="shared" si="85"/>
        <v>JUL</v>
      </c>
      <c r="B576" t="str">
        <f t="shared" si="76"/>
        <v>20</v>
      </c>
      <c r="C576" t="str">
        <f t="shared" si="77"/>
        <v>2020/21</v>
      </c>
      <c r="D576" t="str">
        <f>"SC DC 215404"</f>
        <v>SC DC 215404</v>
      </c>
      <c r="E576" t="str">
        <f t="shared" si="78"/>
        <v>SC</v>
      </c>
      <c r="F576" t="s">
        <v>21</v>
      </c>
      <c r="G576" t="s">
        <v>22</v>
      </c>
      <c r="H576">
        <v>95.04</v>
      </c>
      <c r="I576" t="str">
        <f t="shared" si="89"/>
        <v>The Mayfield Trust</v>
      </c>
      <c r="J576" t="str">
        <f t="shared" si="88"/>
        <v>Outreach Private Contractors Agency And Contracted Services Short Breaks Integrated commissioning - children's</v>
      </c>
    </row>
    <row r="577" spans="1:10" x14ac:dyDescent="0.35">
      <c r="A577" t="str">
        <f t="shared" si="85"/>
        <v>JUL</v>
      </c>
      <c r="B577" t="str">
        <f t="shared" si="76"/>
        <v>20</v>
      </c>
      <c r="C577" t="str">
        <f t="shared" si="77"/>
        <v>2020/21</v>
      </c>
      <c r="D577" t="str">
        <f>"SC DC 215402"</f>
        <v>SC DC 215402</v>
      </c>
      <c r="E577" t="str">
        <f t="shared" si="78"/>
        <v>SC</v>
      </c>
      <c r="F577" t="s">
        <v>21</v>
      </c>
      <c r="G577" t="s">
        <v>22</v>
      </c>
      <c r="H577">
        <v>95.04</v>
      </c>
      <c r="I577" t="str">
        <f t="shared" si="89"/>
        <v>The Mayfield Trust</v>
      </c>
      <c r="J577" t="str">
        <f t="shared" si="88"/>
        <v>Outreach Private Contractors Agency And Contracted Services Short Breaks Integrated commissioning - children's</v>
      </c>
    </row>
    <row r="578" spans="1:10" x14ac:dyDescent="0.35">
      <c r="A578" t="str">
        <f t="shared" si="85"/>
        <v>JUL</v>
      </c>
      <c r="B578" t="str">
        <f t="shared" ref="B578:B641" si="90">"20"</f>
        <v>20</v>
      </c>
      <c r="C578" t="str">
        <f t="shared" ref="C578:C641" si="91">"2020/21"</f>
        <v>2020/21</v>
      </c>
      <c r="D578" t="str">
        <f>"SC DC 215415"</f>
        <v>SC DC 215415</v>
      </c>
      <c r="E578" t="str">
        <f t="shared" ref="E578:E641" si="92">LEFT(D578,2)</f>
        <v>SC</v>
      </c>
      <c r="F578" t="s">
        <v>21</v>
      </c>
      <c r="G578" t="s">
        <v>22</v>
      </c>
      <c r="H578">
        <v>95.04</v>
      </c>
      <c r="I578" t="str">
        <f t="shared" si="89"/>
        <v>The Mayfield Trust</v>
      </c>
      <c r="J578" t="str">
        <f t="shared" si="88"/>
        <v>Outreach Private Contractors Agency And Contracted Services Short Breaks Integrated commissioning - children's</v>
      </c>
    </row>
    <row r="579" spans="1:10" x14ac:dyDescent="0.35">
      <c r="A579" t="str">
        <f t="shared" si="85"/>
        <v>JUL</v>
      </c>
      <c r="B579" t="str">
        <f t="shared" si="90"/>
        <v>20</v>
      </c>
      <c r="C579" t="str">
        <f t="shared" si="91"/>
        <v>2020/21</v>
      </c>
      <c r="D579" t="str">
        <f>"SC DC 215835"</f>
        <v>SC DC 215835</v>
      </c>
      <c r="E579" t="str">
        <f t="shared" si="92"/>
        <v>SC</v>
      </c>
      <c r="F579" t="s">
        <v>21</v>
      </c>
      <c r="G579" t="s">
        <v>22</v>
      </c>
      <c r="H579">
        <v>142.56</v>
      </c>
      <c r="I579" t="str">
        <f t="shared" si="89"/>
        <v>The Mayfield Trust</v>
      </c>
      <c r="J579" t="str">
        <f t="shared" si="88"/>
        <v>Outreach Private Contractors Agency And Contracted Services Short Breaks Integrated commissioning - children's</v>
      </c>
    </row>
    <row r="580" spans="1:10" x14ac:dyDescent="0.35">
      <c r="A580" t="str">
        <f t="shared" si="85"/>
        <v>JUL</v>
      </c>
      <c r="B580" t="str">
        <f t="shared" si="90"/>
        <v>20</v>
      </c>
      <c r="C580" t="str">
        <f t="shared" si="91"/>
        <v>2020/21</v>
      </c>
      <c r="D580" t="str">
        <f>"SC DC 215411"</f>
        <v>SC DC 215411</v>
      </c>
      <c r="E580" t="str">
        <f t="shared" si="92"/>
        <v>SC</v>
      </c>
      <c r="F580" t="s">
        <v>21</v>
      </c>
      <c r="G580" t="s">
        <v>22</v>
      </c>
      <c r="H580">
        <v>570.24</v>
      </c>
      <c r="I580" t="str">
        <f t="shared" si="89"/>
        <v>The Mayfield Trust</v>
      </c>
      <c r="J580" t="str">
        <f t="shared" si="88"/>
        <v>Outreach Private Contractors Agency And Contracted Services Short Breaks Integrated commissioning - children's</v>
      </c>
    </row>
    <row r="581" spans="1:10" x14ac:dyDescent="0.35">
      <c r="A581" t="str">
        <f t="shared" si="85"/>
        <v>JUL</v>
      </c>
      <c r="B581" t="str">
        <f t="shared" si="90"/>
        <v>20</v>
      </c>
      <c r="C581" t="str">
        <f t="shared" si="91"/>
        <v>2020/21</v>
      </c>
      <c r="D581" t="str">
        <f>"SC DC 215835"</f>
        <v>SC DC 215835</v>
      </c>
      <c r="E581" t="str">
        <f t="shared" si="92"/>
        <v>SC</v>
      </c>
      <c r="F581" t="s">
        <v>21</v>
      </c>
      <c r="G581" t="s">
        <v>22</v>
      </c>
      <c r="H581">
        <v>190.08</v>
      </c>
      <c r="I581" t="str">
        <f t="shared" si="89"/>
        <v>The Mayfield Trust</v>
      </c>
      <c r="J581" t="str">
        <f t="shared" si="88"/>
        <v>Outreach Private Contractors Agency And Contracted Services Short Breaks Integrated commissioning - children's</v>
      </c>
    </row>
    <row r="582" spans="1:10" x14ac:dyDescent="0.35">
      <c r="A582" t="str">
        <f t="shared" si="85"/>
        <v>JUL</v>
      </c>
      <c r="B582" t="str">
        <f t="shared" si="90"/>
        <v>20</v>
      </c>
      <c r="C582" t="str">
        <f t="shared" si="91"/>
        <v>2020/21</v>
      </c>
      <c r="D582" t="str">
        <f>"SC DC 215406"</f>
        <v>SC DC 215406</v>
      </c>
      <c r="E582" t="str">
        <f t="shared" si="92"/>
        <v>SC</v>
      </c>
      <c r="F582" t="s">
        <v>21</v>
      </c>
      <c r="G582" t="s">
        <v>22</v>
      </c>
      <c r="H582">
        <v>95.04</v>
      </c>
      <c r="I582" t="str">
        <f t="shared" si="89"/>
        <v>The Mayfield Trust</v>
      </c>
      <c r="J582" t="str">
        <f t="shared" si="88"/>
        <v>Outreach Private Contractors Agency And Contracted Services Short Breaks Integrated commissioning - children's</v>
      </c>
    </row>
    <row r="583" spans="1:10" x14ac:dyDescent="0.35">
      <c r="A583" t="str">
        <f t="shared" si="85"/>
        <v>JUL</v>
      </c>
      <c r="B583" t="str">
        <f t="shared" si="90"/>
        <v>20</v>
      </c>
      <c r="C583" t="str">
        <f t="shared" si="91"/>
        <v>2020/21</v>
      </c>
      <c r="D583" t="str">
        <f>"SC DC 215411"</f>
        <v>SC DC 215411</v>
      </c>
      <c r="E583" t="str">
        <f t="shared" si="92"/>
        <v>SC</v>
      </c>
      <c r="F583" t="s">
        <v>21</v>
      </c>
      <c r="G583" t="s">
        <v>22</v>
      </c>
      <c r="H583">
        <v>554.4</v>
      </c>
      <c r="I583" t="str">
        <f t="shared" si="89"/>
        <v>The Mayfield Trust</v>
      </c>
      <c r="J583" t="str">
        <f t="shared" si="88"/>
        <v>Outreach Private Contractors Agency And Contracted Services Short Breaks Integrated commissioning - children's</v>
      </c>
    </row>
    <row r="584" spans="1:10" x14ac:dyDescent="0.35">
      <c r="A584" t="str">
        <f t="shared" si="85"/>
        <v>JUL</v>
      </c>
      <c r="B584" t="str">
        <f t="shared" si="90"/>
        <v>20</v>
      </c>
      <c r="C584" t="str">
        <f t="shared" si="91"/>
        <v>2020/21</v>
      </c>
      <c r="D584" t="str">
        <f>"SC DC 215412"</f>
        <v>SC DC 215412</v>
      </c>
      <c r="E584" t="str">
        <f t="shared" si="92"/>
        <v>SC</v>
      </c>
      <c r="F584" t="s">
        <v>21</v>
      </c>
      <c r="G584" t="s">
        <v>22</v>
      </c>
      <c r="H584">
        <v>95.04</v>
      </c>
      <c r="I584" t="str">
        <f t="shared" si="89"/>
        <v>The Mayfield Trust</v>
      </c>
      <c r="J584" t="str">
        <f t="shared" si="88"/>
        <v>Outreach Private Contractors Agency And Contracted Services Short Breaks Integrated commissioning - children's</v>
      </c>
    </row>
    <row r="585" spans="1:10" x14ac:dyDescent="0.35">
      <c r="A585" t="str">
        <f t="shared" si="85"/>
        <v>JUL</v>
      </c>
      <c r="B585" t="str">
        <f t="shared" si="90"/>
        <v>20</v>
      </c>
      <c r="C585" t="str">
        <f t="shared" si="91"/>
        <v>2020/21</v>
      </c>
      <c r="D585" t="str">
        <f>"SC DC 209611"</f>
        <v>SC DC 209611</v>
      </c>
      <c r="E585" t="str">
        <f t="shared" si="92"/>
        <v>SC</v>
      </c>
      <c r="F585" t="s">
        <v>21</v>
      </c>
      <c r="G585" t="s">
        <v>22</v>
      </c>
      <c r="H585">
        <v>285.12</v>
      </c>
      <c r="I585" t="str">
        <f t="shared" si="89"/>
        <v>The Mayfield Trust</v>
      </c>
      <c r="J585" t="str">
        <f>"Short Breaks Panel - DCT Private Contractors Agency And Contracted Services Short Breaks Integrated commissioning - children's"</f>
        <v>Short Breaks Panel - DCT Private Contractors Agency And Contracted Services Short Breaks Integrated commissioning - children's</v>
      </c>
    </row>
    <row r="586" spans="1:10" x14ac:dyDescent="0.35">
      <c r="A586" t="str">
        <f t="shared" si="85"/>
        <v>JUL</v>
      </c>
      <c r="B586" t="str">
        <f t="shared" si="90"/>
        <v>20</v>
      </c>
      <c r="C586" t="str">
        <f t="shared" si="91"/>
        <v>2020/21</v>
      </c>
      <c r="D586" t="str">
        <f>"SC DC 213125"</f>
        <v>SC DC 213125</v>
      </c>
      <c r="E586" t="str">
        <f t="shared" si="92"/>
        <v>SC</v>
      </c>
      <c r="F586" t="s">
        <v>21</v>
      </c>
      <c r="G586" t="s">
        <v>22</v>
      </c>
      <c r="H586">
        <v>118.8</v>
      </c>
      <c r="I586" t="str">
        <f t="shared" si="89"/>
        <v>The Mayfield Trust</v>
      </c>
      <c r="J586" t="str">
        <f>"Short Breaks Panel - DCT Private Contractors Agency And Contracted Services Short Breaks Integrated commissioning - children's"</f>
        <v>Short Breaks Panel - DCT Private Contractors Agency And Contracted Services Short Breaks Integrated commissioning - children's</v>
      </c>
    </row>
    <row r="587" spans="1:10" x14ac:dyDescent="0.35">
      <c r="A587" t="str">
        <f t="shared" si="85"/>
        <v>JUL</v>
      </c>
      <c r="B587" t="str">
        <f t="shared" si="90"/>
        <v>20</v>
      </c>
      <c r="C587" t="str">
        <f t="shared" si="91"/>
        <v>2020/21</v>
      </c>
      <c r="D587" t="str">
        <f>"SC DC 209611"</f>
        <v>SC DC 209611</v>
      </c>
      <c r="E587" t="str">
        <f t="shared" si="92"/>
        <v>SC</v>
      </c>
      <c r="F587" t="s">
        <v>21</v>
      </c>
      <c r="G587" t="s">
        <v>22</v>
      </c>
      <c r="H587">
        <v>182.16</v>
      </c>
      <c r="I587" t="str">
        <f t="shared" si="89"/>
        <v>The Mayfield Trust</v>
      </c>
      <c r="J587" t="str">
        <f>"Short Breaks Panel - DCT Private Contractors Agency And Contracted Services Short Breaks Integrated commissioning - children's"</f>
        <v>Short Breaks Panel - DCT Private Contractors Agency And Contracted Services Short Breaks Integrated commissioning - children's</v>
      </c>
    </row>
    <row r="588" spans="1:10" x14ac:dyDescent="0.35">
      <c r="A588" t="str">
        <f t="shared" si="85"/>
        <v>JUL</v>
      </c>
      <c r="B588" t="str">
        <f t="shared" si="90"/>
        <v>20</v>
      </c>
      <c r="C588" t="str">
        <f t="shared" si="91"/>
        <v>2020/21</v>
      </c>
      <c r="D588" t="str">
        <f>"SC DC 209611"</f>
        <v>SC DC 209611</v>
      </c>
      <c r="E588" t="str">
        <f t="shared" si="92"/>
        <v>SC</v>
      </c>
      <c r="F588" t="s">
        <v>21</v>
      </c>
      <c r="G588" t="s">
        <v>22</v>
      </c>
      <c r="H588">
        <v>285.12</v>
      </c>
      <c r="I588" t="str">
        <f t="shared" si="89"/>
        <v>The Mayfield Trust</v>
      </c>
      <c r="J588" t="str">
        <f>"Short Breaks Panel - DCT Private Contractors Agency And Contracted Services Short Breaks Integrated commissioning - children's"</f>
        <v>Short Breaks Panel - DCT Private Contractors Agency And Contracted Services Short Breaks Integrated commissioning - children's</v>
      </c>
    </row>
    <row r="589" spans="1:10" x14ac:dyDescent="0.35">
      <c r="A589" t="str">
        <f t="shared" si="85"/>
        <v>JUL</v>
      </c>
      <c r="B589" t="str">
        <f t="shared" si="90"/>
        <v>20</v>
      </c>
      <c r="C589" t="str">
        <f t="shared" si="91"/>
        <v>2020/21</v>
      </c>
      <c r="D589" t="str">
        <f>"SC AI 209620"</f>
        <v>SC AI 209620</v>
      </c>
      <c r="E589" t="str">
        <f t="shared" si="92"/>
        <v>SC</v>
      </c>
      <c r="F589" t="s">
        <v>21</v>
      </c>
      <c r="G589" t="s">
        <v>22</v>
      </c>
      <c r="H589">
        <v>285.12</v>
      </c>
      <c r="I589" t="str">
        <f t="shared" si="89"/>
        <v>The Mayfield Trust</v>
      </c>
      <c r="J589" t="str">
        <f t="shared" ref="J589:J630" si="93">"Short Breaks Panel - Family Support Private Contractors Agency And Contracted Services Short Breaks Integrated commissioning - children's"</f>
        <v>Short Breaks Panel - Family Support Private Contractors Agency And Contracted Services Short Breaks Integrated commissioning - children's</v>
      </c>
    </row>
    <row r="590" spans="1:10" x14ac:dyDescent="0.35">
      <c r="A590" t="str">
        <f t="shared" si="85"/>
        <v>JUL</v>
      </c>
      <c r="B590" t="str">
        <f t="shared" si="90"/>
        <v>20</v>
      </c>
      <c r="C590" t="str">
        <f t="shared" si="91"/>
        <v>2020/21</v>
      </c>
      <c r="D590" t="str">
        <f>"SC AI 209621"</f>
        <v>SC AI 209621</v>
      </c>
      <c r="E590" t="str">
        <f t="shared" si="92"/>
        <v>SC</v>
      </c>
      <c r="F590" t="s">
        <v>21</v>
      </c>
      <c r="G590" t="s">
        <v>22</v>
      </c>
      <c r="H590">
        <v>285.12</v>
      </c>
      <c r="I590" t="str">
        <f t="shared" si="89"/>
        <v>The Mayfield Trust</v>
      </c>
      <c r="J590" t="str">
        <f t="shared" si="93"/>
        <v>Short Breaks Panel - Family Support Private Contractors Agency And Contracted Services Short Breaks Integrated commissioning - children's</v>
      </c>
    </row>
    <row r="591" spans="1:10" x14ac:dyDescent="0.35">
      <c r="A591" t="str">
        <f t="shared" si="85"/>
        <v>JUL</v>
      </c>
      <c r="B591" t="str">
        <f t="shared" si="90"/>
        <v>20</v>
      </c>
      <c r="C591" t="str">
        <f t="shared" si="91"/>
        <v>2020/21</v>
      </c>
      <c r="D591" t="str">
        <f>"SC AI 209622"</f>
        <v>SC AI 209622</v>
      </c>
      <c r="E591" t="str">
        <f t="shared" si="92"/>
        <v>SC</v>
      </c>
      <c r="F591" t="s">
        <v>21</v>
      </c>
      <c r="G591" t="s">
        <v>22</v>
      </c>
      <c r="H591">
        <v>388.08</v>
      </c>
      <c r="I591" t="str">
        <f t="shared" si="89"/>
        <v>The Mayfield Trust</v>
      </c>
      <c r="J591" t="str">
        <f t="shared" si="93"/>
        <v>Short Breaks Panel - Family Support Private Contractors Agency And Contracted Services Short Breaks Integrated commissioning - children's</v>
      </c>
    </row>
    <row r="592" spans="1:10" x14ac:dyDescent="0.35">
      <c r="A592" t="str">
        <f t="shared" si="85"/>
        <v>JUL</v>
      </c>
      <c r="B592" t="str">
        <f t="shared" si="90"/>
        <v>20</v>
      </c>
      <c r="C592" t="str">
        <f t="shared" si="91"/>
        <v>2020/21</v>
      </c>
      <c r="D592" t="str">
        <f>"SC AI 209617"</f>
        <v>SC AI 209617</v>
      </c>
      <c r="E592" t="str">
        <f t="shared" si="92"/>
        <v>SC</v>
      </c>
      <c r="F592" t="s">
        <v>21</v>
      </c>
      <c r="G592" t="s">
        <v>22</v>
      </c>
      <c r="H592">
        <v>570.24</v>
      </c>
      <c r="I592" t="str">
        <f t="shared" si="89"/>
        <v>The Mayfield Trust</v>
      </c>
      <c r="J592" t="str">
        <f t="shared" si="93"/>
        <v>Short Breaks Panel - Family Support Private Contractors Agency And Contracted Services Short Breaks Integrated commissioning - children's</v>
      </c>
    </row>
    <row r="593" spans="1:10" x14ac:dyDescent="0.35">
      <c r="A593" t="str">
        <f t="shared" si="85"/>
        <v>JUL</v>
      </c>
      <c r="B593" t="str">
        <f t="shared" si="90"/>
        <v>20</v>
      </c>
      <c r="C593" t="str">
        <f t="shared" si="91"/>
        <v>2020/21</v>
      </c>
      <c r="D593" t="str">
        <f>"SC AI 209623"</f>
        <v>SC AI 209623</v>
      </c>
      <c r="E593" t="str">
        <f t="shared" si="92"/>
        <v>SC</v>
      </c>
      <c r="F593" t="s">
        <v>21</v>
      </c>
      <c r="G593" t="s">
        <v>22</v>
      </c>
      <c r="H593">
        <v>380.16</v>
      </c>
      <c r="I593" t="str">
        <f t="shared" si="89"/>
        <v>The Mayfield Trust</v>
      </c>
      <c r="J593" t="str">
        <f t="shared" si="93"/>
        <v>Short Breaks Panel - Family Support Private Contractors Agency And Contracted Services Short Breaks Integrated commissioning - children's</v>
      </c>
    </row>
    <row r="594" spans="1:10" x14ac:dyDescent="0.35">
      <c r="A594" t="str">
        <f t="shared" si="85"/>
        <v>JUL</v>
      </c>
      <c r="B594" t="str">
        <f t="shared" si="90"/>
        <v>20</v>
      </c>
      <c r="C594" t="str">
        <f t="shared" si="91"/>
        <v>2020/21</v>
      </c>
      <c r="D594" t="str">
        <f>"SC AI 209613"</f>
        <v>SC AI 209613</v>
      </c>
      <c r="E594" t="str">
        <f t="shared" si="92"/>
        <v>SC</v>
      </c>
      <c r="F594" t="s">
        <v>21</v>
      </c>
      <c r="G594" t="s">
        <v>22</v>
      </c>
      <c r="H594">
        <v>380.16</v>
      </c>
      <c r="I594" t="str">
        <f t="shared" si="89"/>
        <v>The Mayfield Trust</v>
      </c>
      <c r="J594" t="str">
        <f t="shared" si="93"/>
        <v>Short Breaks Panel - Family Support Private Contractors Agency And Contracted Services Short Breaks Integrated commissioning - children's</v>
      </c>
    </row>
    <row r="595" spans="1:10" x14ac:dyDescent="0.35">
      <c r="A595" t="str">
        <f t="shared" si="85"/>
        <v>JUL</v>
      </c>
      <c r="B595" t="str">
        <f t="shared" si="90"/>
        <v>20</v>
      </c>
      <c r="C595" t="str">
        <f t="shared" si="91"/>
        <v>2020/21</v>
      </c>
      <c r="D595" t="str">
        <f>"SC AI 209615"</f>
        <v>SC AI 209615</v>
      </c>
      <c r="E595" t="str">
        <f t="shared" si="92"/>
        <v>SC</v>
      </c>
      <c r="F595" t="s">
        <v>21</v>
      </c>
      <c r="G595" t="s">
        <v>22</v>
      </c>
      <c r="H595">
        <v>126.72</v>
      </c>
      <c r="I595" t="str">
        <f t="shared" si="89"/>
        <v>The Mayfield Trust</v>
      </c>
      <c r="J595" t="str">
        <f t="shared" si="93"/>
        <v>Short Breaks Panel - Family Support Private Contractors Agency And Contracted Services Short Breaks Integrated commissioning - children's</v>
      </c>
    </row>
    <row r="596" spans="1:10" x14ac:dyDescent="0.35">
      <c r="A596" t="str">
        <f t="shared" si="85"/>
        <v>JUL</v>
      </c>
      <c r="B596" t="str">
        <f t="shared" si="90"/>
        <v>20</v>
      </c>
      <c r="C596" t="str">
        <f t="shared" si="91"/>
        <v>2020/21</v>
      </c>
      <c r="D596" t="str">
        <f>"SC AI 209602"</f>
        <v>SC AI 209602</v>
      </c>
      <c r="E596" t="str">
        <f t="shared" si="92"/>
        <v>SC</v>
      </c>
      <c r="F596" t="s">
        <v>21</v>
      </c>
      <c r="G596" t="s">
        <v>22</v>
      </c>
      <c r="H596">
        <v>380.16</v>
      </c>
      <c r="I596" t="str">
        <f t="shared" si="89"/>
        <v>The Mayfield Trust</v>
      </c>
      <c r="J596" t="str">
        <f t="shared" si="93"/>
        <v>Short Breaks Panel - Family Support Private Contractors Agency And Contracted Services Short Breaks Integrated commissioning - children's</v>
      </c>
    </row>
    <row r="597" spans="1:10" x14ac:dyDescent="0.35">
      <c r="A597" t="str">
        <f t="shared" si="85"/>
        <v>JUL</v>
      </c>
      <c r="B597" t="str">
        <f t="shared" si="90"/>
        <v>20</v>
      </c>
      <c r="C597" t="str">
        <f t="shared" si="91"/>
        <v>2020/21</v>
      </c>
      <c r="D597" t="str">
        <f>"SC AI 209614"</f>
        <v>SC AI 209614</v>
      </c>
      <c r="E597" t="str">
        <f t="shared" si="92"/>
        <v>SC</v>
      </c>
      <c r="F597" t="s">
        <v>21</v>
      </c>
      <c r="G597" t="s">
        <v>22</v>
      </c>
      <c r="H597">
        <v>190.08</v>
      </c>
      <c r="I597" t="str">
        <f t="shared" si="89"/>
        <v>The Mayfield Trust</v>
      </c>
      <c r="J597" t="str">
        <f t="shared" si="93"/>
        <v>Short Breaks Panel - Family Support Private Contractors Agency And Contracted Services Short Breaks Integrated commissioning - children's</v>
      </c>
    </row>
    <row r="598" spans="1:10" x14ac:dyDescent="0.35">
      <c r="A598" t="str">
        <f t="shared" si="85"/>
        <v>JUL</v>
      </c>
      <c r="B598" t="str">
        <f t="shared" si="90"/>
        <v>20</v>
      </c>
      <c r="C598" t="str">
        <f t="shared" si="91"/>
        <v>2020/21</v>
      </c>
      <c r="D598" t="str">
        <f>"SC AI 209606"</f>
        <v>SC AI 209606</v>
      </c>
      <c r="E598" t="str">
        <f t="shared" si="92"/>
        <v>SC</v>
      </c>
      <c r="F598" t="s">
        <v>21</v>
      </c>
      <c r="G598" t="s">
        <v>22</v>
      </c>
      <c r="H598">
        <v>285.12</v>
      </c>
      <c r="I598" t="str">
        <f t="shared" si="89"/>
        <v>The Mayfield Trust</v>
      </c>
      <c r="J598" t="str">
        <f t="shared" si="93"/>
        <v>Short Breaks Panel - Family Support Private Contractors Agency And Contracted Services Short Breaks Integrated commissioning - children's</v>
      </c>
    </row>
    <row r="599" spans="1:10" x14ac:dyDescent="0.35">
      <c r="A599" t="str">
        <f t="shared" si="85"/>
        <v>JUL</v>
      </c>
      <c r="B599" t="str">
        <f t="shared" si="90"/>
        <v>20</v>
      </c>
      <c r="C599" t="str">
        <f t="shared" si="91"/>
        <v>2020/21</v>
      </c>
      <c r="D599" t="str">
        <f>"SC AI 209603"</f>
        <v>SC AI 209603</v>
      </c>
      <c r="E599" t="str">
        <f t="shared" si="92"/>
        <v>SC</v>
      </c>
      <c r="F599" t="s">
        <v>21</v>
      </c>
      <c r="G599" t="s">
        <v>22</v>
      </c>
      <c r="H599">
        <v>380.16</v>
      </c>
      <c r="I599" t="str">
        <f t="shared" si="89"/>
        <v>The Mayfield Trust</v>
      </c>
      <c r="J599" t="str">
        <f t="shared" si="93"/>
        <v>Short Breaks Panel - Family Support Private Contractors Agency And Contracted Services Short Breaks Integrated commissioning - children's</v>
      </c>
    </row>
    <row r="600" spans="1:10" x14ac:dyDescent="0.35">
      <c r="A600" t="str">
        <f t="shared" ref="A600:A663" si="94">"JUL"</f>
        <v>JUL</v>
      </c>
      <c r="B600" t="str">
        <f t="shared" si="90"/>
        <v>20</v>
      </c>
      <c r="C600" t="str">
        <f t="shared" si="91"/>
        <v>2020/21</v>
      </c>
      <c r="D600" t="str">
        <f>"SC AI 209610"</f>
        <v>SC AI 209610</v>
      </c>
      <c r="E600" t="str">
        <f t="shared" si="92"/>
        <v>SC</v>
      </c>
      <c r="F600" t="s">
        <v>21</v>
      </c>
      <c r="G600" t="s">
        <v>22</v>
      </c>
      <c r="H600">
        <v>190.08</v>
      </c>
      <c r="I600" t="str">
        <f t="shared" si="89"/>
        <v>The Mayfield Trust</v>
      </c>
      <c r="J600" t="str">
        <f t="shared" si="93"/>
        <v>Short Breaks Panel - Family Support Private Contractors Agency And Contracted Services Short Breaks Integrated commissioning - children's</v>
      </c>
    </row>
    <row r="601" spans="1:10" x14ac:dyDescent="0.35">
      <c r="A601" t="str">
        <f t="shared" si="94"/>
        <v>JUL</v>
      </c>
      <c r="B601" t="str">
        <f t="shared" si="90"/>
        <v>20</v>
      </c>
      <c r="C601" t="str">
        <f t="shared" si="91"/>
        <v>2020/21</v>
      </c>
      <c r="D601" t="str">
        <f>"SC AI 209618"</f>
        <v>SC AI 209618</v>
      </c>
      <c r="E601" t="str">
        <f t="shared" si="92"/>
        <v>SC</v>
      </c>
      <c r="F601" t="s">
        <v>21</v>
      </c>
      <c r="G601" t="s">
        <v>22</v>
      </c>
      <c r="H601">
        <v>332.64</v>
      </c>
      <c r="I601" t="str">
        <f t="shared" si="89"/>
        <v>The Mayfield Trust</v>
      </c>
      <c r="J601" t="str">
        <f t="shared" si="93"/>
        <v>Short Breaks Panel - Family Support Private Contractors Agency And Contracted Services Short Breaks Integrated commissioning - children's</v>
      </c>
    </row>
    <row r="602" spans="1:10" x14ac:dyDescent="0.35">
      <c r="A602" t="str">
        <f t="shared" si="94"/>
        <v>JUL</v>
      </c>
      <c r="B602" t="str">
        <f t="shared" si="90"/>
        <v>20</v>
      </c>
      <c r="C602" t="str">
        <f t="shared" si="91"/>
        <v>2020/21</v>
      </c>
      <c r="D602" t="str">
        <f>"SC AI 209544"</f>
        <v>SC AI 209544</v>
      </c>
      <c r="E602" t="str">
        <f t="shared" si="92"/>
        <v>SC</v>
      </c>
      <c r="F602" t="s">
        <v>21</v>
      </c>
      <c r="G602" t="s">
        <v>22</v>
      </c>
      <c r="H602">
        <v>190.08</v>
      </c>
      <c r="I602" t="str">
        <f t="shared" si="89"/>
        <v>The Mayfield Trust</v>
      </c>
      <c r="J602" t="str">
        <f t="shared" si="93"/>
        <v>Short Breaks Panel - Family Support Private Contractors Agency And Contracted Services Short Breaks Integrated commissioning - children's</v>
      </c>
    </row>
    <row r="603" spans="1:10" x14ac:dyDescent="0.35">
      <c r="A603" t="str">
        <f t="shared" si="94"/>
        <v>JUL</v>
      </c>
      <c r="B603" t="str">
        <f t="shared" si="90"/>
        <v>20</v>
      </c>
      <c r="C603" t="str">
        <f t="shared" si="91"/>
        <v>2020/21</v>
      </c>
      <c r="D603" t="str">
        <f>"SC AI 209620"</f>
        <v>SC AI 209620</v>
      </c>
      <c r="E603" t="str">
        <f t="shared" si="92"/>
        <v>SC</v>
      </c>
      <c r="F603" t="s">
        <v>21</v>
      </c>
      <c r="G603" t="s">
        <v>22</v>
      </c>
      <c r="H603">
        <v>285.12</v>
      </c>
      <c r="I603" t="str">
        <f t="shared" si="89"/>
        <v>The Mayfield Trust</v>
      </c>
      <c r="J603" t="str">
        <f t="shared" si="93"/>
        <v>Short Breaks Panel - Family Support Private Contractors Agency And Contracted Services Short Breaks Integrated commissioning - children's</v>
      </c>
    </row>
    <row r="604" spans="1:10" x14ac:dyDescent="0.35">
      <c r="A604" t="str">
        <f t="shared" si="94"/>
        <v>JUL</v>
      </c>
      <c r="B604" t="str">
        <f t="shared" si="90"/>
        <v>20</v>
      </c>
      <c r="C604" t="str">
        <f t="shared" si="91"/>
        <v>2020/21</v>
      </c>
      <c r="D604" t="str">
        <f>"SC AI 209621"</f>
        <v>SC AI 209621</v>
      </c>
      <c r="E604" t="str">
        <f t="shared" si="92"/>
        <v>SC</v>
      </c>
      <c r="F604" t="s">
        <v>21</v>
      </c>
      <c r="G604" t="s">
        <v>22</v>
      </c>
      <c r="H604">
        <v>285.12</v>
      </c>
      <c r="I604" t="str">
        <f t="shared" si="89"/>
        <v>The Mayfield Trust</v>
      </c>
      <c r="J604" t="str">
        <f t="shared" si="93"/>
        <v>Short Breaks Panel - Family Support Private Contractors Agency And Contracted Services Short Breaks Integrated commissioning - children's</v>
      </c>
    </row>
    <row r="605" spans="1:10" x14ac:dyDescent="0.35">
      <c r="A605" t="str">
        <f t="shared" si="94"/>
        <v>JUL</v>
      </c>
      <c r="B605" t="str">
        <f t="shared" si="90"/>
        <v>20</v>
      </c>
      <c r="C605" t="str">
        <f t="shared" si="91"/>
        <v>2020/21</v>
      </c>
      <c r="D605" t="str">
        <f>"SC AI 209622"</f>
        <v>SC AI 209622</v>
      </c>
      <c r="E605" t="str">
        <f t="shared" si="92"/>
        <v>SC</v>
      </c>
      <c r="F605" t="s">
        <v>21</v>
      </c>
      <c r="G605" t="s">
        <v>22</v>
      </c>
      <c r="H605">
        <v>380.16</v>
      </c>
      <c r="I605" t="str">
        <f t="shared" si="89"/>
        <v>The Mayfield Trust</v>
      </c>
      <c r="J605" t="str">
        <f t="shared" si="93"/>
        <v>Short Breaks Panel - Family Support Private Contractors Agency And Contracted Services Short Breaks Integrated commissioning - children's</v>
      </c>
    </row>
    <row r="606" spans="1:10" x14ac:dyDescent="0.35">
      <c r="A606" t="str">
        <f t="shared" si="94"/>
        <v>JUL</v>
      </c>
      <c r="B606" t="str">
        <f t="shared" si="90"/>
        <v>20</v>
      </c>
      <c r="C606" t="str">
        <f t="shared" si="91"/>
        <v>2020/21</v>
      </c>
      <c r="D606" t="str">
        <f>"SC AI 209617"</f>
        <v>SC AI 209617</v>
      </c>
      <c r="E606" t="str">
        <f t="shared" si="92"/>
        <v>SC</v>
      </c>
      <c r="F606" t="s">
        <v>21</v>
      </c>
      <c r="G606" t="s">
        <v>22</v>
      </c>
      <c r="H606">
        <v>570.24</v>
      </c>
      <c r="I606" t="str">
        <f t="shared" si="89"/>
        <v>The Mayfield Trust</v>
      </c>
      <c r="J606" t="str">
        <f t="shared" si="93"/>
        <v>Short Breaks Panel - Family Support Private Contractors Agency And Contracted Services Short Breaks Integrated commissioning - children's</v>
      </c>
    </row>
    <row r="607" spans="1:10" x14ac:dyDescent="0.35">
      <c r="A607" t="str">
        <f t="shared" si="94"/>
        <v>JUL</v>
      </c>
      <c r="B607" t="str">
        <f t="shared" si="90"/>
        <v>20</v>
      </c>
      <c r="C607" t="str">
        <f t="shared" si="91"/>
        <v>2020/21</v>
      </c>
      <c r="D607" t="str">
        <f>"SC AI 209623"</f>
        <v>SC AI 209623</v>
      </c>
      <c r="E607" t="str">
        <f t="shared" si="92"/>
        <v>SC</v>
      </c>
      <c r="F607" t="s">
        <v>21</v>
      </c>
      <c r="G607" t="s">
        <v>22</v>
      </c>
      <c r="H607">
        <v>380.16</v>
      </c>
      <c r="I607" t="str">
        <f t="shared" ref="I607:I630" si="95">"The Mayfield Trust"</f>
        <v>The Mayfield Trust</v>
      </c>
      <c r="J607" t="str">
        <f t="shared" si="93"/>
        <v>Short Breaks Panel - Family Support Private Contractors Agency And Contracted Services Short Breaks Integrated commissioning - children's</v>
      </c>
    </row>
    <row r="608" spans="1:10" x14ac:dyDescent="0.35">
      <c r="A608" t="str">
        <f t="shared" si="94"/>
        <v>JUL</v>
      </c>
      <c r="B608" t="str">
        <f t="shared" si="90"/>
        <v>20</v>
      </c>
      <c r="C608" t="str">
        <f t="shared" si="91"/>
        <v>2020/21</v>
      </c>
      <c r="D608" t="str">
        <f>"SC AI 209613"</f>
        <v>SC AI 209613</v>
      </c>
      <c r="E608" t="str">
        <f t="shared" si="92"/>
        <v>SC</v>
      </c>
      <c r="F608" t="s">
        <v>21</v>
      </c>
      <c r="G608" t="s">
        <v>22</v>
      </c>
      <c r="H608">
        <v>380.16</v>
      </c>
      <c r="I608" t="str">
        <f t="shared" si="95"/>
        <v>The Mayfield Trust</v>
      </c>
      <c r="J608" t="str">
        <f t="shared" si="93"/>
        <v>Short Breaks Panel - Family Support Private Contractors Agency And Contracted Services Short Breaks Integrated commissioning - children's</v>
      </c>
    </row>
    <row r="609" spans="1:10" x14ac:dyDescent="0.35">
      <c r="A609" t="str">
        <f t="shared" si="94"/>
        <v>JUL</v>
      </c>
      <c r="B609" t="str">
        <f t="shared" si="90"/>
        <v>20</v>
      </c>
      <c r="C609" t="str">
        <f t="shared" si="91"/>
        <v>2020/21</v>
      </c>
      <c r="D609" t="str">
        <f>"SC AI 209615"</f>
        <v>SC AI 209615</v>
      </c>
      <c r="E609" t="str">
        <f t="shared" si="92"/>
        <v>SC</v>
      </c>
      <c r="F609" t="s">
        <v>21</v>
      </c>
      <c r="G609" t="s">
        <v>22</v>
      </c>
      <c r="H609">
        <v>237.6</v>
      </c>
      <c r="I609" t="str">
        <f t="shared" si="95"/>
        <v>The Mayfield Trust</v>
      </c>
      <c r="J609" t="str">
        <f t="shared" si="93"/>
        <v>Short Breaks Panel - Family Support Private Contractors Agency And Contracted Services Short Breaks Integrated commissioning - children's</v>
      </c>
    </row>
    <row r="610" spans="1:10" x14ac:dyDescent="0.35">
      <c r="A610" t="str">
        <f t="shared" si="94"/>
        <v>JUL</v>
      </c>
      <c r="B610" t="str">
        <f t="shared" si="90"/>
        <v>20</v>
      </c>
      <c r="C610" t="str">
        <f t="shared" si="91"/>
        <v>2020/21</v>
      </c>
      <c r="D610" t="str">
        <f>"SC AI 209602"</f>
        <v>SC AI 209602</v>
      </c>
      <c r="E610" t="str">
        <f t="shared" si="92"/>
        <v>SC</v>
      </c>
      <c r="F610" t="s">
        <v>21</v>
      </c>
      <c r="G610" t="s">
        <v>22</v>
      </c>
      <c r="H610">
        <v>380.16</v>
      </c>
      <c r="I610" t="str">
        <f t="shared" si="95"/>
        <v>The Mayfield Trust</v>
      </c>
      <c r="J610" t="str">
        <f t="shared" si="93"/>
        <v>Short Breaks Panel - Family Support Private Contractors Agency And Contracted Services Short Breaks Integrated commissioning - children's</v>
      </c>
    </row>
    <row r="611" spans="1:10" x14ac:dyDescent="0.35">
      <c r="A611" t="str">
        <f t="shared" si="94"/>
        <v>JUL</v>
      </c>
      <c r="B611" t="str">
        <f t="shared" si="90"/>
        <v>20</v>
      </c>
      <c r="C611" t="str">
        <f t="shared" si="91"/>
        <v>2020/21</v>
      </c>
      <c r="D611" t="str">
        <f>"SC AI 209614"</f>
        <v>SC AI 209614</v>
      </c>
      <c r="E611" t="str">
        <f t="shared" si="92"/>
        <v>SC</v>
      </c>
      <c r="F611" t="s">
        <v>21</v>
      </c>
      <c r="G611" t="s">
        <v>22</v>
      </c>
      <c r="H611">
        <v>190.08</v>
      </c>
      <c r="I611" t="str">
        <f t="shared" si="95"/>
        <v>The Mayfield Trust</v>
      </c>
      <c r="J611" t="str">
        <f t="shared" si="93"/>
        <v>Short Breaks Panel - Family Support Private Contractors Agency And Contracted Services Short Breaks Integrated commissioning - children's</v>
      </c>
    </row>
    <row r="612" spans="1:10" x14ac:dyDescent="0.35">
      <c r="A612" t="str">
        <f t="shared" si="94"/>
        <v>JUL</v>
      </c>
      <c r="B612" t="str">
        <f t="shared" si="90"/>
        <v>20</v>
      </c>
      <c r="C612" t="str">
        <f t="shared" si="91"/>
        <v>2020/21</v>
      </c>
      <c r="D612" t="str">
        <f>"SC AI 209606"</f>
        <v>SC AI 209606</v>
      </c>
      <c r="E612" t="str">
        <f t="shared" si="92"/>
        <v>SC</v>
      </c>
      <c r="F612" t="s">
        <v>21</v>
      </c>
      <c r="G612" t="s">
        <v>22</v>
      </c>
      <c r="H612">
        <v>190.08</v>
      </c>
      <c r="I612" t="str">
        <f t="shared" si="95"/>
        <v>The Mayfield Trust</v>
      </c>
      <c r="J612" t="str">
        <f t="shared" si="93"/>
        <v>Short Breaks Panel - Family Support Private Contractors Agency And Contracted Services Short Breaks Integrated commissioning - children's</v>
      </c>
    </row>
    <row r="613" spans="1:10" x14ac:dyDescent="0.35">
      <c r="A613" t="str">
        <f t="shared" si="94"/>
        <v>JUL</v>
      </c>
      <c r="B613" t="str">
        <f t="shared" si="90"/>
        <v>20</v>
      </c>
      <c r="C613" t="str">
        <f t="shared" si="91"/>
        <v>2020/21</v>
      </c>
      <c r="D613" t="str">
        <f>"SC AI 209603"</f>
        <v>SC AI 209603</v>
      </c>
      <c r="E613" t="str">
        <f t="shared" si="92"/>
        <v>SC</v>
      </c>
      <c r="F613" t="s">
        <v>21</v>
      </c>
      <c r="G613" t="s">
        <v>22</v>
      </c>
      <c r="H613">
        <v>380.16</v>
      </c>
      <c r="I613" t="str">
        <f t="shared" si="95"/>
        <v>The Mayfield Trust</v>
      </c>
      <c r="J613" t="str">
        <f t="shared" si="93"/>
        <v>Short Breaks Panel - Family Support Private Contractors Agency And Contracted Services Short Breaks Integrated commissioning - children's</v>
      </c>
    </row>
    <row r="614" spans="1:10" x14ac:dyDescent="0.35">
      <c r="A614" t="str">
        <f t="shared" si="94"/>
        <v>JUL</v>
      </c>
      <c r="B614" t="str">
        <f t="shared" si="90"/>
        <v>20</v>
      </c>
      <c r="C614" t="str">
        <f t="shared" si="91"/>
        <v>2020/21</v>
      </c>
      <c r="D614" t="str">
        <f>"SC AI 209610"</f>
        <v>SC AI 209610</v>
      </c>
      <c r="E614" t="str">
        <f t="shared" si="92"/>
        <v>SC</v>
      </c>
      <c r="F614" t="s">
        <v>21</v>
      </c>
      <c r="G614" t="s">
        <v>22</v>
      </c>
      <c r="H614">
        <v>293.04000000000002</v>
      </c>
      <c r="I614" t="str">
        <f t="shared" si="95"/>
        <v>The Mayfield Trust</v>
      </c>
      <c r="J614" t="str">
        <f t="shared" si="93"/>
        <v>Short Breaks Panel - Family Support Private Contractors Agency And Contracted Services Short Breaks Integrated commissioning - children's</v>
      </c>
    </row>
    <row r="615" spans="1:10" x14ac:dyDescent="0.35">
      <c r="A615" t="str">
        <f t="shared" si="94"/>
        <v>JUL</v>
      </c>
      <c r="B615" t="str">
        <f t="shared" si="90"/>
        <v>20</v>
      </c>
      <c r="C615" t="str">
        <f t="shared" si="91"/>
        <v>2020/21</v>
      </c>
      <c r="D615" t="str">
        <f>"SC AI 209618"</f>
        <v>SC AI 209618</v>
      </c>
      <c r="E615" t="str">
        <f t="shared" si="92"/>
        <v>SC</v>
      </c>
      <c r="F615" t="s">
        <v>21</v>
      </c>
      <c r="G615" t="s">
        <v>22</v>
      </c>
      <c r="H615">
        <v>341</v>
      </c>
      <c r="I615" t="str">
        <f t="shared" si="95"/>
        <v>The Mayfield Trust</v>
      </c>
      <c r="J615" t="str">
        <f t="shared" si="93"/>
        <v>Short Breaks Panel - Family Support Private Contractors Agency And Contracted Services Short Breaks Integrated commissioning - children's</v>
      </c>
    </row>
    <row r="616" spans="1:10" x14ac:dyDescent="0.35">
      <c r="A616" t="str">
        <f t="shared" si="94"/>
        <v>JUL</v>
      </c>
      <c r="B616" t="str">
        <f t="shared" si="90"/>
        <v>20</v>
      </c>
      <c r="C616" t="str">
        <f t="shared" si="91"/>
        <v>2020/21</v>
      </c>
      <c r="D616" t="str">
        <f>"SC AI 209544"</f>
        <v>SC AI 209544</v>
      </c>
      <c r="E616" t="str">
        <f t="shared" si="92"/>
        <v>SC</v>
      </c>
      <c r="F616" t="s">
        <v>21</v>
      </c>
      <c r="G616" t="s">
        <v>22</v>
      </c>
      <c r="H616">
        <v>158.4</v>
      </c>
      <c r="I616" t="str">
        <f t="shared" si="95"/>
        <v>The Mayfield Trust</v>
      </c>
      <c r="J616" t="str">
        <f t="shared" si="93"/>
        <v>Short Breaks Panel - Family Support Private Contractors Agency And Contracted Services Short Breaks Integrated commissioning - children's</v>
      </c>
    </row>
    <row r="617" spans="1:10" x14ac:dyDescent="0.35">
      <c r="A617" t="str">
        <f t="shared" si="94"/>
        <v>JUL</v>
      </c>
      <c r="B617" t="str">
        <f t="shared" si="90"/>
        <v>20</v>
      </c>
      <c r="C617" t="str">
        <f t="shared" si="91"/>
        <v>2020/21</v>
      </c>
      <c r="D617" t="str">
        <f>"SC AI 209620"</f>
        <v>SC AI 209620</v>
      </c>
      <c r="E617" t="str">
        <f t="shared" si="92"/>
        <v>SC</v>
      </c>
      <c r="F617" t="s">
        <v>21</v>
      </c>
      <c r="G617" t="s">
        <v>22</v>
      </c>
      <c r="H617">
        <v>201.96</v>
      </c>
      <c r="I617" t="str">
        <f t="shared" si="95"/>
        <v>The Mayfield Trust</v>
      </c>
      <c r="J617" t="str">
        <f t="shared" si="93"/>
        <v>Short Breaks Panel - Family Support Private Contractors Agency And Contracted Services Short Breaks Integrated commissioning - children's</v>
      </c>
    </row>
    <row r="618" spans="1:10" x14ac:dyDescent="0.35">
      <c r="A618" t="str">
        <f t="shared" si="94"/>
        <v>JUL</v>
      </c>
      <c r="B618" t="str">
        <f t="shared" si="90"/>
        <v>20</v>
      </c>
      <c r="C618" t="str">
        <f t="shared" si="91"/>
        <v>2020/21</v>
      </c>
      <c r="D618" t="str">
        <f>"SC AI 209621"</f>
        <v>SC AI 209621</v>
      </c>
      <c r="E618" t="str">
        <f t="shared" si="92"/>
        <v>SC</v>
      </c>
      <c r="F618" t="s">
        <v>21</v>
      </c>
      <c r="G618" t="s">
        <v>22</v>
      </c>
      <c r="H618">
        <v>201.96</v>
      </c>
      <c r="I618" t="str">
        <f t="shared" si="95"/>
        <v>The Mayfield Trust</v>
      </c>
      <c r="J618" t="str">
        <f t="shared" si="93"/>
        <v>Short Breaks Panel - Family Support Private Contractors Agency And Contracted Services Short Breaks Integrated commissioning - children's</v>
      </c>
    </row>
    <row r="619" spans="1:10" x14ac:dyDescent="0.35">
      <c r="A619" t="str">
        <f t="shared" si="94"/>
        <v>JUL</v>
      </c>
      <c r="B619" t="str">
        <f t="shared" si="90"/>
        <v>20</v>
      </c>
      <c r="C619" t="str">
        <f t="shared" si="91"/>
        <v>2020/21</v>
      </c>
      <c r="D619" t="str">
        <f>"SC AI 209622"</f>
        <v>SC AI 209622</v>
      </c>
      <c r="E619" t="str">
        <f t="shared" si="92"/>
        <v>SC</v>
      </c>
      <c r="F619" t="s">
        <v>21</v>
      </c>
      <c r="G619" t="s">
        <v>22</v>
      </c>
      <c r="H619">
        <v>190.08</v>
      </c>
      <c r="I619" t="str">
        <f t="shared" si="95"/>
        <v>The Mayfield Trust</v>
      </c>
      <c r="J619" t="str">
        <f t="shared" si="93"/>
        <v>Short Breaks Panel - Family Support Private Contractors Agency And Contracted Services Short Breaks Integrated commissioning - children's</v>
      </c>
    </row>
    <row r="620" spans="1:10" x14ac:dyDescent="0.35">
      <c r="A620" t="str">
        <f t="shared" si="94"/>
        <v>JUL</v>
      </c>
      <c r="B620" t="str">
        <f t="shared" si="90"/>
        <v>20</v>
      </c>
      <c r="C620" t="str">
        <f t="shared" si="91"/>
        <v>2020/21</v>
      </c>
      <c r="D620" t="str">
        <f>"SC AI 209617"</f>
        <v>SC AI 209617</v>
      </c>
      <c r="E620" t="str">
        <f t="shared" si="92"/>
        <v>SC</v>
      </c>
      <c r="F620" t="s">
        <v>21</v>
      </c>
      <c r="G620" t="s">
        <v>22</v>
      </c>
      <c r="H620">
        <v>570.24</v>
      </c>
      <c r="I620" t="str">
        <f t="shared" si="95"/>
        <v>The Mayfield Trust</v>
      </c>
      <c r="J620" t="str">
        <f t="shared" si="93"/>
        <v>Short Breaks Panel - Family Support Private Contractors Agency And Contracted Services Short Breaks Integrated commissioning - children's</v>
      </c>
    </row>
    <row r="621" spans="1:10" x14ac:dyDescent="0.35">
      <c r="A621" t="str">
        <f t="shared" si="94"/>
        <v>JUL</v>
      </c>
      <c r="B621" t="str">
        <f t="shared" si="90"/>
        <v>20</v>
      </c>
      <c r="C621" t="str">
        <f t="shared" si="91"/>
        <v>2020/21</v>
      </c>
      <c r="D621" t="str">
        <f>"SC AI 209623"</f>
        <v>SC AI 209623</v>
      </c>
      <c r="E621" t="str">
        <f t="shared" si="92"/>
        <v>SC</v>
      </c>
      <c r="F621" t="s">
        <v>21</v>
      </c>
      <c r="G621" t="s">
        <v>22</v>
      </c>
      <c r="H621">
        <v>190.08</v>
      </c>
      <c r="I621" t="str">
        <f t="shared" si="95"/>
        <v>The Mayfield Trust</v>
      </c>
      <c r="J621" t="str">
        <f t="shared" si="93"/>
        <v>Short Breaks Panel - Family Support Private Contractors Agency And Contracted Services Short Breaks Integrated commissioning - children's</v>
      </c>
    </row>
    <row r="622" spans="1:10" x14ac:dyDescent="0.35">
      <c r="A622" t="str">
        <f t="shared" si="94"/>
        <v>JUL</v>
      </c>
      <c r="B622" t="str">
        <f t="shared" si="90"/>
        <v>20</v>
      </c>
      <c r="C622" t="str">
        <f t="shared" si="91"/>
        <v>2020/21</v>
      </c>
      <c r="D622" t="str">
        <f>"SC AI 209613"</f>
        <v>SC AI 209613</v>
      </c>
      <c r="E622" t="str">
        <f t="shared" si="92"/>
        <v>SC</v>
      </c>
      <c r="F622" t="s">
        <v>21</v>
      </c>
      <c r="G622" t="s">
        <v>22</v>
      </c>
      <c r="H622">
        <v>380.16</v>
      </c>
      <c r="I622" t="str">
        <f t="shared" si="95"/>
        <v>The Mayfield Trust</v>
      </c>
      <c r="J622" t="str">
        <f t="shared" si="93"/>
        <v>Short Breaks Panel - Family Support Private Contractors Agency And Contracted Services Short Breaks Integrated commissioning - children's</v>
      </c>
    </row>
    <row r="623" spans="1:10" x14ac:dyDescent="0.35">
      <c r="A623" t="str">
        <f t="shared" si="94"/>
        <v>JUL</v>
      </c>
      <c r="B623" t="str">
        <f t="shared" si="90"/>
        <v>20</v>
      </c>
      <c r="C623" t="str">
        <f t="shared" si="91"/>
        <v>2020/21</v>
      </c>
      <c r="D623" t="str">
        <f>"SC AI 209615"</f>
        <v>SC AI 209615</v>
      </c>
      <c r="E623" t="str">
        <f t="shared" si="92"/>
        <v>SC</v>
      </c>
      <c r="F623" t="s">
        <v>21</v>
      </c>
      <c r="G623" t="s">
        <v>22</v>
      </c>
      <c r="H623">
        <v>316.8</v>
      </c>
      <c r="I623" t="str">
        <f t="shared" si="95"/>
        <v>The Mayfield Trust</v>
      </c>
      <c r="J623" t="str">
        <f t="shared" si="93"/>
        <v>Short Breaks Panel - Family Support Private Contractors Agency And Contracted Services Short Breaks Integrated commissioning - children's</v>
      </c>
    </row>
    <row r="624" spans="1:10" x14ac:dyDescent="0.35">
      <c r="A624" t="str">
        <f t="shared" si="94"/>
        <v>JUL</v>
      </c>
      <c r="B624" t="str">
        <f t="shared" si="90"/>
        <v>20</v>
      </c>
      <c r="C624" t="str">
        <f t="shared" si="91"/>
        <v>2020/21</v>
      </c>
      <c r="D624" t="str">
        <f>"SC AI 209602"</f>
        <v>SC AI 209602</v>
      </c>
      <c r="E624" t="str">
        <f t="shared" si="92"/>
        <v>SC</v>
      </c>
      <c r="F624" t="s">
        <v>21</v>
      </c>
      <c r="G624" t="s">
        <v>22</v>
      </c>
      <c r="H624">
        <v>316.8</v>
      </c>
      <c r="I624" t="str">
        <f t="shared" si="95"/>
        <v>The Mayfield Trust</v>
      </c>
      <c r="J624" t="str">
        <f t="shared" si="93"/>
        <v>Short Breaks Panel - Family Support Private Contractors Agency And Contracted Services Short Breaks Integrated commissioning - children's</v>
      </c>
    </row>
    <row r="625" spans="1:10" x14ac:dyDescent="0.35">
      <c r="A625" t="str">
        <f t="shared" si="94"/>
        <v>JUL</v>
      </c>
      <c r="B625" t="str">
        <f t="shared" si="90"/>
        <v>20</v>
      </c>
      <c r="C625" t="str">
        <f t="shared" si="91"/>
        <v>2020/21</v>
      </c>
      <c r="D625" t="str">
        <f>"SC AI 209614"</f>
        <v>SC AI 209614</v>
      </c>
      <c r="E625" t="str">
        <f t="shared" si="92"/>
        <v>SC</v>
      </c>
      <c r="F625" t="s">
        <v>21</v>
      </c>
      <c r="G625" t="s">
        <v>22</v>
      </c>
      <c r="H625">
        <v>190.08</v>
      </c>
      <c r="I625" t="str">
        <f t="shared" si="95"/>
        <v>The Mayfield Trust</v>
      </c>
      <c r="J625" t="str">
        <f t="shared" si="93"/>
        <v>Short Breaks Panel - Family Support Private Contractors Agency And Contracted Services Short Breaks Integrated commissioning - children's</v>
      </c>
    </row>
    <row r="626" spans="1:10" x14ac:dyDescent="0.35">
      <c r="A626" t="str">
        <f t="shared" si="94"/>
        <v>JUL</v>
      </c>
      <c r="B626" t="str">
        <f t="shared" si="90"/>
        <v>20</v>
      </c>
      <c r="C626" t="str">
        <f t="shared" si="91"/>
        <v>2020/21</v>
      </c>
      <c r="D626" t="str">
        <f>"SC AI 209606"</f>
        <v>SC AI 209606</v>
      </c>
      <c r="E626" t="str">
        <f t="shared" si="92"/>
        <v>SC</v>
      </c>
      <c r="F626" t="s">
        <v>21</v>
      </c>
      <c r="G626" t="s">
        <v>22</v>
      </c>
      <c r="H626">
        <v>190.08</v>
      </c>
      <c r="I626" t="str">
        <f t="shared" si="95"/>
        <v>The Mayfield Trust</v>
      </c>
      <c r="J626" t="str">
        <f t="shared" si="93"/>
        <v>Short Breaks Panel - Family Support Private Contractors Agency And Contracted Services Short Breaks Integrated commissioning - children's</v>
      </c>
    </row>
    <row r="627" spans="1:10" x14ac:dyDescent="0.35">
      <c r="A627" t="str">
        <f t="shared" si="94"/>
        <v>JUL</v>
      </c>
      <c r="B627" t="str">
        <f t="shared" si="90"/>
        <v>20</v>
      </c>
      <c r="C627" t="str">
        <f t="shared" si="91"/>
        <v>2020/21</v>
      </c>
      <c r="D627" t="str">
        <f>"SC AI 209603"</f>
        <v>SC AI 209603</v>
      </c>
      <c r="E627" t="str">
        <f t="shared" si="92"/>
        <v>SC</v>
      </c>
      <c r="F627" t="s">
        <v>21</v>
      </c>
      <c r="G627" t="s">
        <v>22</v>
      </c>
      <c r="H627">
        <v>380.16</v>
      </c>
      <c r="I627" t="str">
        <f t="shared" si="95"/>
        <v>The Mayfield Trust</v>
      </c>
      <c r="J627" t="str">
        <f t="shared" si="93"/>
        <v>Short Breaks Panel - Family Support Private Contractors Agency And Contracted Services Short Breaks Integrated commissioning - children's</v>
      </c>
    </row>
    <row r="628" spans="1:10" x14ac:dyDescent="0.35">
      <c r="A628" t="str">
        <f t="shared" si="94"/>
        <v>JUL</v>
      </c>
      <c r="B628" t="str">
        <f t="shared" si="90"/>
        <v>20</v>
      </c>
      <c r="C628" t="str">
        <f t="shared" si="91"/>
        <v>2020/21</v>
      </c>
      <c r="D628" t="str">
        <f>"SC AI 209610"</f>
        <v>SC AI 209610</v>
      </c>
      <c r="E628" t="str">
        <f t="shared" si="92"/>
        <v>SC</v>
      </c>
      <c r="F628" t="s">
        <v>21</v>
      </c>
      <c r="G628" t="s">
        <v>22</v>
      </c>
      <c r="H628">
        <v>190.08</v>
      </c>
      <c r="I628" t="str">
        <f t="shared" si="95"/>
        <v>The Mayfield Trust</v>
      </c>
      <c r="J628" t="str">
        <f t="shared" si="93"/>
        <v>Short Breaks Panel - Family Support Private Contractors Agency And Contracted Services Short Breaks Integrated commissioning - children's</v>
      </c>
    </row>
    <row r="629" spans="1:10" x14ac:dyDescent="0.35">
      <c r="A629" t="str">
        <f t="shared" si="94"/>
        <v>JUL</v>
      </c>
      <c r="B629" t="str">
        <f t="shared" si="90"/>
        <v>20</v>
      </c>
      <c r="C629" t="str">
        <f t="shared" si="91"/>
        <v>2020/21</v>
      </c>
      <c r="D629" t="str">
        <f>"SC AI 209618"</f>
        <v>SC AI 209618</v>
      </c>
      <c r="E629" t="str">
        <f t="shared" si="92"/>
        <v>SC</v>
      </c>
      <c r="F629" t="s">
        <v>21</v>
      </c>
      <c r="G629" t="s">
        <v>22</v>
      </c>
      <c r="H629">
        <v>190.08</v>
      </c>
      <c r="I629" t="str">
        <f t="shared" si="95"/>
        <v>The Mayfield Trust</v>
      </c>
      <c r="J629" t="str">
        <f t="shared" si="93"/>
        <v>Short Breaks Panel - Family Support Private Contractors Agency And Contracted Services Short Breaks Integrated commissioning - children's</v>
      </c>
    </row>
    <row r="630" spans="1:10" x14ac:dyDescent="0.35">
      <c r="A630" t="str">
        <f t="shared" si="94"/>
        <v>JUL</v>
      </c>
      <c r="B630" t="str">
        <f t="shared" si="90"/>
        <v>20</v>
      </c>
      <c r="C630" t="str">
        <f t="shared" si="91"/>
        <v>2020/21</v>
      </c>
      <c r="D630" t="str">
        <f>"SC AI 209544"</f>
        <v>SC AI 209544</v>
      </c>
      <c r="E630" t="str">
        <f t="shared" si="92"/>
        <v>SC</v>
      </c>
      <c r="F630" t="s">
        <v>21</v>
      </c>
      <c r="G630" t="s">
        <v>22</v>
      </c>
      <c r="H630">
        <v>95.04</v>
      </c>
      <c r="I630" t="str">
        <f t="shared" si="95"/>
        <v>The Mayfield Trust</v>
      </c>
      <c r="J630" t="str">
        <f t="shared" si="93"/>
        <v>Short Breaks Panel - Family Support Private Contractors Agency And Contracted Services Short Breaks Integrated commissioning - children's</v>
      </c>
    </row>
    <row r="631" spans="1:10" x14ac:dyDescent="0.35">
      <c r="A631" t="str">
        <f t="shared" si="94"/>
        <v>JUL</v>
      </c>
      <c r="B631" t="str">
        <f t="shared" si="90"/>
        <v>20</v>
      </c>
      <c r="C631" t="str">
        <f t="shared" si="91"/>
        <v>2020/21</v>
      </c>
      <c r="D631" t="str">
        <f>"CE PH 014102"</f>
        <v>CE PH 014102</v>
      </c>
      <c r="E631" t="str">
        <f t="shared" si="92"/>
        <v>CE</v>
      </c>
      <c r="F631" t="s">
        <v>23</v>
      </c>
      <c r="G631" t="s">
        <v>24</v>
      </c>
      <c r="H631">
        <v>249204.83</v>
      </c>
      <c r="I631" t="str">
        <f>"Humankind"</f>
        <v>Humankind</v>
      </c>
      <c r="J631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632" spans="1:10" x14ac:dyDescent="0.35">
      <c r="A632" t="str">
        <f t="shared" si="94"/>
        <v>JUL</v>
      </c>
      <c r="B632" t="str">
        <f t="shared" si="90"/>
        <v>20</v>
      </c>
      <c r="C632" t="str">
        <f t="shared" si="91"/>
        <v>2020/21</v>
      </c>
      <c r="D632" t="str">
        <f>"CE PH 014108"</f>
        <v>CE PH 014108</v>
      </c>
      <c r="E632" t="str">
        <f t="shared" si="92"/>
        <v>CE</v>
      </c>
      <c r="F632" t="s">
        <v>23</v>
      </c>
      <c r="G632" t="s">
        <v>24</v>
      </c>
      <c r="H632">
        <v>23653</v>
      </c>
      <c r="I632" t="str">
        <f>"The Brunswick Centre"</f>
        <v>The Brunswick Centre</v>
      </c>
      <c r="J632" t="str">
        <f>"Brunswick HIV work Private Contractors Agency And Contracted Services Sexual Health Public Health"</f>
        <v>Brunswick HIV work Private Contractors Agency And Contracted Services Sexual Health Public Health</v>
      </c>
    </row>
    <row r="633" spans="1:10" x14ac:dyDescent="0.35">
      <c r="A633" t="str">
        <f t="shared" si="94"/>
        <v>JUL</v>
      </c>
      <c r="B633" t="str">
        <f t="shared" si="90"/>
        <v>20</v>
      </c>
      <c r="C633" t="str">
        <f t="shared" si="91"/>
        <v>2020/21</v>
      </c>
      <c r="D633" t="str">
        <f>"CE PH 014187"</f>
        <v>CE PH 014187</v>
      </c>
      <c r="E633" t="str">
        <f t="shared" si="92"/>
        <v>CE</v>
      </c>
      <c r="F633" t="s">
        <v>23</v>
      </c>
      <c r="G633" t="s">
        <v>24</v>
      </c>
      <c r="H633">
        <v>1448</v>
      </c>
      <c r="I633" t="str">
        <f>"Locala Community Partnerships CIC"</f>
        <v>Locala Community Partnerships CIC</v>
      </c>
      <c r="J633" t="str">
        <f>"Out of area GUM Private Contractors Agency And Contracted Services Sexual Health Public Health"</f>
        <v>Out of area GUM Private Contractors Agency And Contracted Services Sexual Health Public Health</v>
      </c>
    </row>
    <row r="634" spans="1:10" x14ac:dyDescent="0.35">
      <c r="A634" t="str">
        <f t="shared" si="94"/>
        <v>JUL</v>
      </c>
      <c r="B634" t="str">
        <f t="shared" si="90"/>
        <v>20</v>
      </c>
      <c r="C634" t="str">
        <f t="shared" si="91"/>
        <v>2020/21</v>
      </c>
      <c r="D634" t="str">
        <f>"CE PH 014188"</f>
        <v>CE PH 014188</v>
      </c>
      <c r="E634" t="str">
        <f t="shared" si="92"/>
        <v>CE</v>
      </c>
      <c r="F634" t="s">
        <v>23</v>
      </c>
      <c r="G634" t="s">
        <v>24</v>
      </c>
      <c r="H634">
        <v>1766</v>
      </c>
      <c r="I634" t="str">
        <f>"Locala Community Partnerships CIC"</f>
        <v>Locala Community Partnerships CIC</v>
      </c>
      <c r="J634" t="str">
        <f>"Out of area GUM Private Contractors Agency And Contracted Services Sexual Health Public Health"</f>
        <v>Out of area GUM Private Contractors Agency And Contracted Services Sexual Health Public Health</v>
      </c>
    </row>
    <row r="635" spans="1:10" x14ac:dyDescent="0.35">
      <c r="A635" t="str">
        <f t="shared" si="94"/>
        <v>JUL</v>
      </c>
      <c r="B635" t="str">
        <f t="shared" si="90"/>
        <v>20</v>
      </c>
      <c r="C635" t="str">
        <f t="shared" si="91"/>
        <v>2020/21</v>
      </c>
      <c r="D635" t="str">
        <f>"CE PH 014096"</f>
        <v>CE PH 014096</v>
      </c>
      <c r="E635" t="str">
        <f t="shared" si="92"/>
        <v>CE</v>
      </c>
      <c r="F635" t="s">
        <v>23</v>
      </c>
      <c r="G635" t="s">
        <v>24</v>
      </c>
      <c r="H635">
        <v>22682</v>
      </c>
      <c r="I635" t="str">
        <f>"Humankind"</f>
        <v>Humankind</v>
      </c>
      <c r="J635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636" spans="1:10" x14ac:dyDescent="0.35">
      <c r="A636" t="str">
        <f t="shared" si="94"/>
        <v>JUL</v>
      </c>
      <c r="B636" t="str">
        <f t="shared" si="90"/>
        <v>20</v>
      </c>
      <c r="C636" t="str">
        <f t="shared" si="91"/>
        <v>2020/21</v>
      </c>
      <c r="D636" t="str">
        <f>"CE PH 014195"</f>
        <v>CE PH 014195</v>
      </c>
      <c r="E636" t="str">
        <f t="shared" si="92"/>
        <v>CE</v>
      </c>
      <c r="F636" t="s">
        <v>23</v>
      </c>
      <c r="G636" t="s">
        <v>24</v>
      </c>
      <c r="H636">
        <v>18511</v>
      </c>
      <c r="I636" t="str">
        <f>"North Halifax Partnership Ltd"</f>
        <v>North Halifax Partnership Ltd</v>
      </c>
      <c r="J636" t="str">
        <f>"North Locality Miscellaneous Expenses Supplies And Services Active Staff (Sport England funded) Public Health"</f>
        <v>North Locality Miscellaneous Expenses Supplies And Services Active Staff (Sport England funded) Public Health</v>
      </c>
    </row>
    <row r="637" spans="1:10" x14ac:dyDescent="0.35">
      <c r="A637" t="str">
        <f t="shared" si="94"/>
        <v>JUL</v>
      </c>
      <c r="B637" t="str">
        <f t="shared" si="90"/>
        <v>20</v>
      </c>
      <c r="C637" t="str">
        <f t="shared" si="91"/>
        <v>2020/21</v>
      </c>
      <c r="D637" t="str">
        <f>"SS FD 113786"</f>
        <v>SS FD 113786</v>
      </c>
      <c r="E637" t="str">
        <f t="shared" si="92"/>
        <v>SS</v>
      </c>
      <c r="F637" t="s">
        <v>25</v>
      </c>
      <c r="G637" t="s">
        <v>22</v>
      </c>
      <c r="H637">
        <v>2300.1999999999998</v>
      </c>
      <c r="I637" t="str">
        <f>"Helping Hands (HX)"</f>
        <v>Helping Hands (HX)</v>
      </c>
      <c r="J637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638" spans="1:10" x14ac:dyDescent="0.35">
      <c r="A638" t="str">
        <f t="shared" si="94"/>
        <v>JUL</v>
      </c>
      <c r="B638" t="str">
        <f t="shared" si="90"/>
        <v>20</v>
      </c>
      <c r="C638" t="str">
        <f t="shared" si="91"/>
        <v>2020/21</v>
      </c>
      <c r="D638" t="str">
        <f>"SS FD 113790"</f>
        <v>SS FD 113790</v>
      </c>
      <c r="E638" t="str">
        <f t="shared" si="92"/>
        <v>SS</v>
      </c>
      <c r="F638" t="s">
        <v>25</v>
      </c>
      <c r="G638" t="s">
        <v>22</v>
      </c>
      <c r="H638">
        <v>3596.04</v>
      </c>
      <c r="I638" t="str">
        <f>"The Hive (Halifax) Ltd"</f>
        <v>The Hive (Halifax) Ltd</v>
      </c>
      <c r="J638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639" spans="1:10" x14ac:dyDescent="0.35">
      <c r="A639" t="str">
        <f t="shared" si="94"/>
        <v>JUL</v>
      </c>
      <c r="B639" t="str">
        <f t="shared" si="90"/>
        <v>20</v>
      </c>
      <c r="C639" t="str">
        <f t="shared" si="91"/>
        <v>2020/21</v>
      </c>
      <c r="D639" t="str">
        <f>"SS FD 113780"</f>
        <v>SS FD 113780</v>
      </c>
      <c r="E639" t="str">
        <f t="shared" si="92"/>
        <v>SS</v>
      </c>
      <c r="F639" t="s">
        <v>25</v>
      </c>
      <c r="G639" t="s">
        <v>22</v>
      </c>
      <c r="H639">
        <v>102048.69</v>
      </c>
      <c r="I639" t="str">
        <f>"The Next Step Trust"</f>
        <v>The Next Step Trust</v>
      </c>
      <c r="J639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640" spans="1:10" x14ac:dyDescent="0.35">
      <c r="A640" t="str">
        <f t="shared" si="94"/>
        <v>JUL</v>
      </c>
      <c r="B640" t="str">
        <f t="shared" si="90"/>
        <v>20</v>
      </c>
      <c r="C640" t="str">
        <f t="shared" si="91"/>
        <v>2020/21</v>
      </c>
      <c r="D640" t="str">
        <f>"SS FD 113789"</f>
        <v>SS FD 113789</v>
      </c>
      <c r="E640" t="str">
        <f t="shared" si="92"/>
        <v>SS</v>
      </c>
      <c r="F640" t="s">
        <v>25</v>
      </c>
      <c r="G640" t="s">
        <v>22</v>
      </c>
      <c r="H640">
        <v>39132.97</v>
      </c>
      <c r="I640" t="str">
        <f>"Pennine Magpie"</f>
        <v>Pennine Magpie</v>
      </c>
      <c r="J640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641" spans="1:10" x14ac:dyDescent="0.35">
      <c r="A641" t="str">
        <f t="shared" si="94"/>
        <v>JUL</v>
      </c>
      <c r="B641" t="str">
        <f t="shared" si="90"/>
        <v>20</v>
      </c>
      <c r="C641" t="str">
        <f t="shared" si="91"/>
        <v>2020/21</v>
      </c>
      <c r="D641" t="str">
        <f>"SS FD 114303"</f>
        <v>SS FD 114303</v>
      </c>
      <c r="E641" t="str">
        <f t="shared" si="92"/>
        <v>SS</v>
      </c>
      <c r="F641" t="s">
        <v>25</v>
      </c>
      <c r="G641" t="s">
        <v>22</v>
      </c>
      <c r="H641">
        <v>978.44</v>
      </c>
      <c r="I641" t="str">
        <f>"The Mayfield Trust"</f>
        <v>The Mayfield Trust</v>
      </c>
      <c r="J641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642" spans="1:10" x14ac:dyDescent="0.35">
      <c r="A642" t="str">
        <f t="shared" si="94"/>
        <v>JUL</v>
      </c>
      <c r="B642" t="str">
        <f t="shared" ref="B642:B705" si="96">"20"</f>
        <v>20</v>
      </c>
      <c r="C642" t="str">
        <f t="shared" ref="C642:C705" si="97">"2020/21"</f>
        <v>2020/21</v>
      </c>
      <c r="D642" t="str">
        <f>"HS TA 016768"</f>
        <v>HS TA 016768</v>
      </c>
      <c r="E642" t="str">
        <f t="shared" ref="E642:E705" si="98">LEFT(D642,2)</f>
        <v>HS</v>
      </c>
      <c r="F642" t="s">
        <v>26</v>
      </c>
      <c r="G642" t="s">
        <v>18</v>
      </c>
      <c r="H642">
        <v>20810.11</v>
      </c>
      <c r="I642" t="str">
        <f>"Christians Together Calderdale"</f>
        <v>Christians Together Calderdale</v>
      </c>
      <c r="J642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643" spans="1:10" x14ac:dyDescent="0.35">
      <c r="A643" t="str">
        <f t="shared" si="94"/>
        <v>JUL</v>
      </c>
      <c r="B643" t="str">
        <f t="shared" si="96"/>
        <v>20</v>
      </c>
      <c r="C643" t="str">
        <f t="shared" si="97"/>
        <v>2020/21</v>
      </c>
      <c r="D643" t="str">
        <f>"HS TA 016735"</f>
        <v>HS TA 016735</v>
      </c>
      <c r="E643" t="str">
        <f t="shared" si="98"/>
        <v>HS</v>
      </c>
      <c r="F643" t="s">
        <v>26</v>
      </c>
      <c r="G643" t="s">
        <v>18</v>
      </c>
      <c r="H643">
        <v>135</v>
      </c>
      <c r="I643" t="str">
        <f>"Calder Valley Transport"</f>
        <v>Calder Valley Transport</v>
      </c>
      <c r="J643" t="str">
        <f>"Residents Removal Costs Miscellaneous Expenses Supplies And Services Ryburn House Housing Services"</f>
        <v>Residents Removal Costs Miscellaneous Expenses Supplies And Services Ryburn House Housing Services</v>
      </c>
    </row>
    <row r="644" spans="1:10" x14ac:dyDescent="0.35">
      <c r="A644" t="str">
        <f t="shared" si="94"/>
        <v>JUL</v>
      </c>
      <c r="B644" t="str">
        <f t="shared" si="96"/>
        <v>20</v>
      </c>
      <c r="C644" t="str">
        <f t="shared" si="97"/>
        <v>2020/21</v>
      </c>
      <c r="D644" t="str">
        <f>"EG CE 064776"</f>
        <v>EG CE 064776</v>
      </c>
      <c r="E644" t="str">
        <f t="shared" si="98"/>
        <v>EG</v>
      </c>
      <c r="F644" t="s">
        <v>28</v>
      </c>
      <c r="G644" t="s">
        <v>18</v>
      </c>
      <c r="H644">
        <v>2442</v>
      </c>
      <c r="I644" t="str">
        <f>"APSE"</f>
        <v>APSE</v>
      </c>
      <c r="J644" t="str">
        <f>"Customer Satisfaction Surveys Miscellaneous Expenses Supplies And Services Performance Management Highways and Engineering Services"</f>
        <v>Customer Satisfaction Surveys Miscellaneous Expenses Supplies And Services Performance Management Highways and Engineering Services</v>
      </c>
    </row>
    <row r="645" spans="1:10" x14ac:dyDescent="0.35">
      <c r="A645" t="str">
        <f t="shared" si="94"/>
        <v>JUL</v>
      </c>
      <c r="B645" t="str">
        <f t="shared" si="96"/>
        <v>20</v>
      </c>
      <c r="C645" t="str">
        <f t="shared" si="97"/>
        <v>2020/21</v>
      </c>
      <c r="D645" t="str">
        <f>"EG TN 064821"</f>
        <v>EG TN 064821</v>
      </c>
      <c r="E645" t="str">
        <f t="shared" si="98"/>
        <v>EG</v>
      </c>
      <c r="F645" t="s">
        <v>36</v>
      </c>
      <c r="G645" t="s">
        <v>18</v>
      </c>
      <c r="H645">
        <v>55</v>
      </c>
      <c r="I645" t="str">
        <f>"Hebden Bridge Community Association"</f>
        <v>Hebden Bridge Community Association</v>
      </c>
      <c r="J645" t="s">
        <v>9</v>
      </c>
    </row>
    <row r="646" spans="1:10" x14ac:dyDescent="0.35">
      <c r="A646" t="str">
        <f t="shared" si="94"/>
        <v>JUL</v>
      </c>
      <c r="B646" t="str">
        <f t="shared" si="96"/>
        <v>20</v>
      </c>
      <c r="C646" t="str">
        <f t="shared" si="97"/>
        <v>2020/21</v>
      </c>
      <c r="D646" t="str">
        <f>"EG TN 064821"</f>
        <v>EG TN 064821</v>
      </c>
      <c r="E646" t="str">
        <f t="shared" si="98"/>
        <v>EG</v>
      </c>
      <c r="F646" t="s">
        <v>36</v>
      </c>
      <c r="G646" t="s">
        <v>18</v>
      </c>
      <c r="H646">
        <v>55</v>
      </c>
      <c r="I646" t="str">
        <f>"Hebden Bridge Community Association"</f>
        <v>Hebden Bridge Community Association</v>
      </c>
      <c r="J646" t="str">
        <f>"Consultant Fees A646 &amp; A6033 Hx to Todmorden &amp; Rochdale/lancashire Boundaries (CIP)  West Yorkshire Combined Authority Programmes Highways &amp; Eng"</f>
        <v>Consultant Fees A646 &amp; A6033 Hx to Todmorden &amp; Rochdale/lancashire Boundaries (CIP)  West Yorkshire Combined Authority Programmes Highways &amp; Eng</v>
      </c>
    </row>
    <row r="647" spans="1:10" x14ac:dyDescent="0.35">
      <c r="A647" t="str">
        <f t="shared" si="94"/>
        <v>JUL</v>
      </c>
      <c r="B647" t="str">
        <f t="shared" si="96"/>
        <v>20</v>
      </c>
      <c r="C647" t="str">
        <f t="shared" si="97"/>
        <v>2020/21</v>
      </c>
      <c r="E647" t="str">
        <f t="shared" si="98"/>
        <v/>
      </c>
      <c r="F647" t="s">
        <v>36</v>
      </c>
      <c r="G647" t="s">
        <v>18</v>
      </c>
      <c r="H647">
        <v>164501.48000000001</v>
      </c>
      <c r="I647" t="str">
        <f>"Canal &amp; River Trust (British Waterways)"</f>
        <v>Canal &amp; River Trust (British Waterways)</v>
      </c>
      <c r="J647" t="str">
        <f>"Crowther Canal Bridge Construction &amp; Conversions Crowther Canal Bridge Flood Repairs Highways &amp; Engineering Services - Capital"</f>
        <v>Crowther Canal Bridge Construction &amp; Conversions Crowther Canal Bridge Flood Repairs Highways &amp; Engineering Services - Capital</v>
      </c>
    </row>
    <row r="648" spans="1:10" x14ac:dyDescent="0.35">
      <c r="A648" t="str">
        <f t="shared" si="94"/>
        <v>JUL</v>
      </c>
      <c r="B648" t="str">
        <f t="shared" si="96"/>
        <v>20</v>
      </c>
      <c r="C648" t="str">
        <f t="shared" si="97"/>
        <v>2020/21</v>
      </c>
      <c r="E648" t="str">
        <f t="shared" si="98"/>
        <v/>
      </c>
      <c r="F648" t="s">
        <v>36</v>
      </c>
      <c r="G648" t="s">
        <v>18</v>
      </c>
      <c r="H648">
        <v>165997.01999999999</v>
      </c>
      <c r="I648" t="str">
        <f>"Canal &amp; River Trust (British Waterways)"</f>
        <v>Canal &amp; River Trust (British Waterways)</v>
      </c>
      <c r="J648" t="str">
        <f>"CRT infrastrauture repairs (Floods Grant 16/17) Construction &amp; Conversion Canal &amp; River Trust schemes (excl Elland &amp; Crowther Bridge) Flood Repa"</f>
        <v>CRT infrastrauture repairs (Floods Grant 16/17) Construction &amp; Conversion Canal &amp; River Trust schemes (excl Elland &amp; Crowther Bridge) Flood Repa</v>
      </c>
    </row>
    <row r="649" spans="1:10" x14ac:dyDescent="0.35">
      <c r="A649" t="str">
        <f t="shared" si="94"/>
        <v>JUL</v>
      </c>
      <c r="B649" t="str">
        <f t="shared" si="96"/>
        <v>20</v>
      </c>
      <c r="C649" t="str">
        <f t="shared" si="97"/>
        <v>2020/21</v>
      </c>
      <c r="D649" t="str">
        <f>"SC YS 215908"</f>
        <v>SC YS 215908</v>
      </c>
      <c r="E649" t="str">
        <f t="shared" si="98"/>
        <v>SC</v>
      </c>
      <c r="F649" t="s">
        <v>31</v>
      </c>
      <c r="G649" t="s">
        <v>30</v>
      </c>
      <c r="H649">
        <v>4125</v>
      </c>
      <c r="I649" t="str">
        <f>"North Halifax Youth &amp; Community Group"</f>
        <v>North Halifax Youth &amp; Community Group</v>
      </c>
      <c r="J649" t="str">
        <f>"Programme Costs Miscellaneous Expenses Supplies And Services North Halifax Youth &amp; Community Group Schools and Children's Services - Non-School"</f>
        <v>Programme Costs Miscellaneous Expenses Supplies And Services North Halifax Youth &amp; Community Group Schools and Children's Services - Non-School</v>
      </c>
    </row>
    <row r="650" spans="1:10" x14ac:dyDescent="0.35">
      <c r="A650" t="str">
        <f t="shared" si="94"/>
        <v>JUL</v>
      </c>
      <c r="B650" t="str">
        <f t="shared" si="96"/>
        <v>20</v>
      </c>
      <c r="C650" t="str">
        <f t="shared" si="97"/>
        <v>2020/21</v>
      </c>
      <c r="D650" t="str">
        <f>"SC EY 216515"</f>
        <v>SC EY 216515</v>
      </c>
      <c r="E650" t="str">
        <f t="shared" si="98"/>
        <v>SC</v>
      </c>
      <c r="F650" t="s">
        <v>32</v>
      </c>
      <c r="G650" t="s">
        <v>30</v>
      </c>
      <c r="H650">
        <v>586.5</v>
      </c>
      <c r="I650" t="str">
        <f>"Creations Community Childrens Centre"</f>
        <v>Creations Community Childrens Centre</v>
      </c>
      <c r="J650" t="str">
        <f t="shared" ref="J650:J657" si="99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651" spans="1:10" x14ac:dyDescent="0.35">
      <c r="A651" t="str">
        <f t="shared" si="94"/>
        <v>JUL</v>
      </c>
      <c r="B651" t="str">
        <f t="shared" si="96"/>
        <v>20</v>
      </c>
      <c r="C651" t="str">
        <f t="shared" si="97"/>
        <v>2020/21</v>
      </c>
      <c r="D651" t="str">
        <f>"SC EY 216522"</f>
        <v>SC EY 216522</v>
      </c>
      <c r="E651" t="str">
        <f t="shared" si="98"/>
        <v>SC</v>
      </c>
      <c r="F651" t="s">
        <v>32</v>
      </c>
      <c r="G651" t="s">
        <v>30</v>
      </c>
      <c r="H651">
        <v>126</v>
      </c>
      <c r="I651" t="str">
        <f>"Halifax Opportunities Trust"</f>
        <v>Halifax Opportunities Trust</v>
      </c>
      <c r="J651" t="str">
        <f t="shared" si="99"/>
        <v>Access to Support provision Other Agency And Contracted Services Agency And Contracted Services Early Intervention Childcare Funding Childrens S</v>
      </c>
    </row>
    <row r="652" spans="1:10" x14ac:dyDescent="0.35">
      <c r="A652" t="str">
        <f t="shared" si="94"/>
        <v>JUL</v>
      </c>
      <c r="B652" t="str">
        <f t="shared" si="96"/>
        <v>20</v>
      </c>
      <c r="C652" t="str">
        <f t="shared" si="97"/>
        <v>2020/21</v>
      </c>
      <c r="D652" t="str">
        <f>"SC EY 216519"</f>
        <v>SC EY 216519</v>
      </c>
      <c r="E652" t="str">
        <f t="shared" si="98"/>
        <v>SC</v>
      </c>
      <c r="F652" t="s">
        <v>32</v>
      </c>
      <c r="G652" t="s">
        <v>30</v>
      </c>
      <c r="H652">
        <v>1066</v>
      </c>
      <c r="I652" t="str">
        <f>"Innovations Children's Centre"</f>
        <v>Innovations Children's Centre</v>
      </c>
      <c r="J652" t="str">
        <f t="shared" si="99"/>
        <v>Access to Support provision Other Agency And Contracted Services Agency And Contracted Services Early Intervention Childcare Funding Childrens S</v>
      </c>
    </row>
    <row r="653" spans="1:10" x14ac:dyDescent="0.35">
      <c r="A653" t="str">
        <f t="shared" si="94"/>
        <v>JUL</v>
      </c>
      <c r="B653" t="str">
        <f t="shared" si="96"/>
        <v>20</v>
      </c>
      <c r="C653" t="str">
        <f t="shared" si="97"/>
        <v>2020/21</v>
      </c>
      <c r="D653" t="str">
        <f>"SC EY 216520"</f>
        <v>SC EY 216520</v>
      </c>
      <c r="E653" t="str">
        <f t="shared" si="98"/>
        <v>SC</v>
      </c>
      <c r="F653" t="s">
        <v>32</v>
      </c>
      <c r="G653" t="s">
        <v>30</v>
      </c>
      <c r="H653">
        <v>714</v>
      </c>
      <c r="I653" t="str">
        <f>"Jubilee Children's Centre"</f>
        <v>Jubilee Children's Centre</v>
      </c>
      <c r="J653" t="str">
        <f t="shared" si="99"/>
        <v>Access to Support provision Other Agency And Contracted Services Agency And Contracted Services Early Intervention Childcare Funding Childrens S</v>
      </c>
    </row>
    <row r="654" spans="1:10" x14ac:dyDescent="0.35">
      <c r="A654" t="str">
        <f t="shared" si="94"/>
        <v>JUL</v>
      </c>
      <c r="B654" t="str">
        <f t="shared" si="96"/>
        <v>20</v>
      </c>
      <c r="C654" t="str">
        <f t="shared" si="97"/>
        <v>2020/21</v>
      </c>
      <c r="D654" t="str">
        <f>"SC EY 216509"</f>
        <v>SC EY 216509</v>
      </c>
      <c r="E654" t="str">
        <f t="shared" si="98"/>
        <v>SC</v>
      </c>
      <c r="F654" t="s">
        <v>32</v>
      </c>
      <c r="G654" t="s">
        <v>30</v>
      </c>
      <c r="H654">
        <v>338</v>
      </c>
      <c r="I654" t="str">
        <f>"Ash Green Childrens Centre"</f>
        <v>Ash Green Childrens Centre</v>
      </c>
      <c r="J654" t="str">
        <f t="shared" si="99"/>
        <v>Access to Support provision Other Agency And Contracted Services Agency And Contracted Services Early Intervention Childcare Funding Childrens S</v>
      </c>
    </row>
    <row r="655" spans="1:10" x14ac:dyDescent="0.35">
      <c r="A655" t="str">
        <f t="shared" si="94"/>
        <v>JUL</v>
      </c>
      <c r="B655" t="str">
        <f t="shared" si="96"/>
        <v>20</v>
      </c>
      <c r="C655" t="str">
        <f t="shared" si="97"/>
        <v>2020/21</v>
      </c>
      <c r="D655" t="str">
        <f>"SC EY 216521"</f>
        <v>SC EY 216521</v>
      </c>
      <c r="E655" t="str">
        <f t="shared" si="98"/>
        <v>SC</v>
      </c>
      <c r="F655" t="s">
        <v>32</v>
      </c>
      <c r="G655" t="s">
        <v>30</v>
      </c>
      <c r="H655">
        <v>2162</v>
      </c>
      <c r="I655" t="str">
        <f>"Kevin Pearce Childrens Centre"</f>
        <v>Kevin Pearce Childrens Centre</v>
      </c>
      <c r="J655" t="str">
        <f t="shared" si="99"/>
        <v>Access to Support provision Other Agency And Contracted Services Agency And Contracted Services Early Intervention Childcare Funding Childrens S</v>
      </c>
    </row>
    <row r="656" spans="1:10" x14ac:dyDescent="0.35">
      <c r="A656" t="str">
        <f t="shared" si="94"/>
        <v>JUL</v>
      </c>
      <c r="B656" t="str">
        <f t="shared" si="96"/>
        <v>20</v>
      </c>
      <c r="C656" t="str">
        <f t="shared" si="97"/>
        <v>2020/21</v>
      </c>
      <c r="D656" t="str">
        <f>"SC EY 216526"</f>
        <v>SC EY 216526</v>
      </c>
      <c r="E656" t="str">
        <f t="shared" si="98"/>
        <v>SC</v>
      </c>
      <c r="F656" t="s">
        <v>32</v>
      </c>
      <c r="G656" t="s">
        <v>30</v>
      </c>
      <c r="H656">
        <v>678</v>
      </c>
      <c r="I656" t="str">
        <f>"Siddal Children's Centre"</f>
        <v>Siddal Children's Centre</v>
      </c>
      <c r="J656" t="str">
        <f t="shared" si="99"/>
        <v>Access to Support provision Other Agency And Contracted Services Agency And Contracted Services Early Intervention Childcare Funding Childrens S</v>
      </c>
    </row>
    <row r="657" spans="1:10" x14ac:dyDescent="0.35">
      <c r="A657" t="str">
        <f t="shared" si="94"/>
        <v>JUL</v>
      </c>
      <c r="B657" t="str">
        <f t="shared" si="96"/>
        <v>20</v>
      </c>
      <c r="C657" t="str">
        <f t="shared" si="97"/>
        <v>2020/21</v>
      </c>
      <c r="D657" t="str">
        <f>"SC EY 216529"</f>
        <v>SC EY 216529</v>
      </c>
      <c r="E657" t="str">
        <f t="shared" si="98"/>
        <v>SC</v>
      </c>
      <c r="F657" t="s">
        <v>32</v>
      </c>
      <c r="G657" t="s">
        <v>30</v>
      </c>
      <c r="H657">
        <v>279</v>
      </c>
      <c r="I657" t="str">
        <f>"Todmorden Children's Centre"</f>
        <v>Todmorden Children's Centre</v>
      </c>
      <c r="J657" t="str">
        <f t="shared" si="99"/>
        <v>Access to Support provision Other Agency And Contracted Services Agency And Contracted Services Early Intervention Childcare Funding Childrens S</v>
      </c>
    </row>
    <row r="658" spans="1:10" x14ac:dyDescent="0.35">
      <c r="A658" t="str">
        <f t="shared" si="94"/>
        <v>JUL</v>
      </c>
      <c r="B658" t="str">
        <f t="shared" si="96"/>
        <v>20</v>
      </c>
      <c r="C658" t="str">
        <f t="shared" si="97"/>
        <v>2020/21</v>
      </c>
      <c r="D658" t="str">
        <f>"SC EY 216650"</f>
        <v>SC EY 216650</v>
      </c>
      <c r="E658" t="str">
        <f t="shared" si="98"/>
        <v>SC</v>
      </c>
      <c r="F658" t="s">
        <v>32</v>
      </c>
      <c r="G658" t="s">
        <v>30</v>
      </c>
      <c r="H658">
        <v>621</v>
      </c>
      <c r="I658" t="str">
        <f>"Ash Green Childrens Centre"</f>
        <v>Ash Green Childrens Centre</v>
      </c>
      <c r="J658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659" spans="1:10" x14ac:dyDescent="0.35">
      <c r="A659" t="str">
        <f t="shared" si="94"/>
        <v>JUL</v>
      </c>
      <c r="B659" t="str">
        <f t="shared" si="96"/>
        <v>20</v>
      </c>
      <c r="C659" t="str">
        <f t="shared" si="97"/>
        <v>2020/21</v>
      </c>
      <c r="D659" t="str">
        <f>"SC EY 216648"</f>
        <v>SC EY 216648</v>
      </c>
      <c r="E659" t="str">
        <f t="shared" si="98"/>
        <v>SC</v>
      </c>
      <c r="F659" t="s">
        <v>32</v>
      </c>
      <c r="G659" t="s">
        <v>30</v>
      </c>
      <c r="H659">
        <v>310.5</v>
      </c>
      <c r="I659" t="str">
        <f>"Kevin Pearce Childrens Centre"</f>
        <v>Kevin Pearce Childrens Centre</v>
      </c>
      <c r="J659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660" spans="1:10" x14ac:dyDescent="0.35">
      <c r="A660" t="str">
        <f t="shared" si="94"/>
        <v>JUL</v>
      </c>
      <c r="B660" t="str">
        <f t="shared" si="96"/>
        <v>20</v>
      </c>
      <c r="C660" t="str">
        <f t="shared" si="97"/>
        <v>2020/21</v>
      </c>
      <c r="D660" t="str">
        <f>"SC EY 216698"</f>
        <v>SC EY 216698</v>
      </c>
      <c r="E660" t="str">
        <f t="shared" si="98"/>
        <v>SC</v>
      </c>
      <c r="F660" t="s">
        <v>32</v>
      </c>
      <c r="G660" t="s">
        <v>30</v>
      </c>
      <c r="H660">
        <v>615</v>
      </c>
      <c r="I660" t="str">
        <f>"Innovations Children's Centre"</f>
        <v>Innovations Children's Centre</v>
      </c>
      <c r="J660" t="str">
        <f>"D A F Other Committees Of The Council Agency And Contracted Services Nursery Grant Funding Childrens Services Unit"</f>
        <v>D A F Other Committees Of The Council Agency And Contracted Services Nursery Grant Funding Childrens Services Unit</v>
      </c>
    </row>
    <row r="661" spans="1:10" x14ac:dyDescent="0.35">
      <c r="A661" t="str">
        <f t="shared" si="94"/>
        <v>JUL</v>
      </c>
      <c r="B661" t="str">
        <f t="shared" si="96"/>
        <v>20</v>
      </c>
      <c r="C661" t="str">
        <f t="shared" si="97"/>
        <v>2020/21</v>
      </c>
      <c r="D661" t="str">
        <f>"SC EY 216699"</f>
        <v>SC EY 216699</v>
      </c>
      <c r="E661" t="str">
        <f t="shared" si="98"/>
        <v>SC</v>
      </c>
      <c r="F661" t="s">
        <v>32</v>
      </c>
      <c r="G661" t="s">
        <v>30</v>
      </c>
      <c r="H661">
        <v>615</v>
      </c>
      <c r="I661" t="str">
        <f>"Siddal Children's Centre"</f>
        <v>Siddal Children's Centre</v>
      </c>
      <c r="J661" t="str">
        <f>"D A F Other Committees Of The Council Agency And Contracted Services Nursery Grant Funding Childrens Services Unit"</f>
        <v>D A F Other Committees Of The Council Agency And Contracted Services Nursery Grant Funding Childrens Services Unit</v>
      </c>
    </row>
    <row r="662" spans="1:10" x14ac:dyDescent="0.35">
      <c r="A662" t="str">
        <f t="shared" si="94"/>
        <v>JUL</v>
      </c>
      <c r="B662" t="str">
        <f t="shared" si="96"/>
        <v>20</v>
      </c>
      <c r="C662" t="str">
        <f t="shared" si="97"/>
        <v>2020/21</v>
      </c>
      <c r="D662" t="str">
        <f>"SC BP 216587"</f>
        <v>SC BP 216587</v>
      </c>
      <c r="E662" t="str">
        <f t="shared" si="98"/>
        <v>SC</v>
      </c>
      <c r="F662" t="s">
        <v>33</v>
      </c>
      <c r="G662" t="s">
        <v>30</v>
      </c>
      <c r="H662">
        <v>250</v>
      </c>
      <c r="I662" t="str">
        <f>"Ash Green Childrens Centre"</f>
        <v>Ash Green Childrens Centre</v>
      </c>
      <c r="J662" t="str">
        <f>"Nursery Fees Services Supplies And Services Central and West &amp; Upper Valley CIN/CP (non staff) Childrens Care Services"</f>
        <v>Nursery Fees Services Supplies And Services Central and West &amp; Upper Valley CIN/CP (non staff) Childrens Care Services</v>
      </c>
    </row>
    <row r="663" spans="1:10" x14ac:dyDescent="0.35">
      <c r="A663" t="str">
        <f t="shared" si="94"/>
        <v>JUL</v>
      </c>
      <c r="B663" t="str">
        <f t="shared" si="96"/>
        <v>20</v>
      </c>
      <c r="C663" t="str">
        <f t="shared" si="97"/>
        <v>2020/21</v>
      </c>
      <c r="D663" t="str">
        <f>"SC CM 216368"</f>
        <v>SC CM 216368</v>
      </c>
      <c r="E663" t="str">
        <f t="shared" si="98"/>
        <v>SC</v>
      </c>
      <c r="F663" t="s">
        <v>33</v>
      </c>
      <c r="G663" t="s">
        <v>30</v>
      </c>
      <c r="H663">
        <v>160</v>
      </c>
      <c r="I663" t="str">
        <f>"Greenhome Calderdale CIC"</f>
        <v>Greenhome Calderdale CIC</v>
      </c>
      <c r="J663" t="str">
        <f>"Sect 17 (6) Children In Need - N L A (Other expenses) Miscellaneous Expenses Supplies And Services Central and West &amp; Upper Valley CIN/CP (non s"</f>
        <v>Sect 17 (6) Children In Need - N L A (Other expenses) Miscellaneous Expenses Supplies And Services Central and West &amp; Upper Valley CIN/CP (non s</v>
      </c>
    </row>
    <row r="664" spans="1:10" x14ac:dyDescent="0.35">
      <c r="A664" t="str">
        <f t="shared" ref="A664:A727" si="100">"JUL"</f>
        <v>JUL</v>
      </c>
      <c r="B664" t="str">
        <f t="shared" si="96"/>
        <v>20</v>
      </c>
      <c r="C664" t="str">
        <f t="shared" si="97"/>
        <v>2020/21</v>
      </c>
      <c r="D664" t="str">
        <f>"SC PF 215479"</f>
        <v>SC PF 215479</v>
      </c>
      <c r="E664" t="str">
        <f t="shared" si="98"/>
        <v>SC</v>
      </c>
      <c r="F664" t="s">
        <v>33</v>
      </c>
      <c r="G664" t="s">
        <v>30</v>
      </c>
      <c r="H664">
        <v>3276</v>
      </c>
      <c r="I664" t="str">
        <f>"Barnardos (Fostering &amp; Adoption)"</f>
        <v>Barnardos (Fostering &amp; Adoption)</v>
      </c>
      <c r="J664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665" spans="1:10" x14ac:dyDescent="0.35">
      <c r="A665" t="str">
        <f t="shared" si="100"/>
        <v>JUL</v>
      </c>
      <c r="B665" t="str">
        <f t="shared" si="96"/>
        <v>20</v>
      </c>
      <c r="C665" t="str">
        <f t="shared" si="97"/>
        <v>2020/21</v>
      </c>
      <c r="D665" t="str">
        <f>"SC PF 215478"</f>
        <v>SC PF 215478</v>
      </c>
      <c r="E665" t="str">
        <f t="shared" si="98"/>
        <v>SC</v>
      </c>
      <c r="F665" t="s">
        <v>33</v>
      </c>
      <c r="G665" t="s">
        <v>30</v>
      </c>
      <c r="H665">
        <v>3230.95</v>
      </c>
      <c r="I665" t="str">
        <f>"Barnardos (Fostering &amp; Adoption)"</f>
        <v>Barnardos (Fostering &amp; Adoption)</v>
      </c>
      <c r="J665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666" spans="1:10" x14ac:dyDescent="0.35">
      <c r="A666" t="str">
        <f t="shared" si="100"/>
        <v>JUL</v>
      </c>
      <c r="B666" t="str">
        <f t="shared" si="96"/>
        <v>20</v>
      </c>
      <c r="C666" t="str">
        <f t="shared" si="97"/>
        <v>2020/21</v>
      </c>
      <c r="D666" t="str">
        <f>"SC PF 215529"</f>
        <v>SC PF 215529</v>
      </c>
      <c r="E666" t="str">
        <f t="shared" si="98"/>
        <v>SC</v>
      </c>
      <c r="F666" t="s">
        <v>33</v>
      </c>
      <c r="G666" t="s">
        <v>30</v>
      </c>
      <c r="H666">
        <v>3139.8</v>
      </c>
      <c r="I666" t="str">
        <f>"The Childrens Family Trust"</f>
        <v>The Childrens Family Trust</v>
      </c>
      <c r="J666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667" spans="1:10" x14ac:dyDescent="0.35">
      <c r="A667" t="str">
        <f t="shared" si="100"/>
        <v>JUL</v>
      </c>
      <c r="B667" t="str">
        <f t="shared" si="96"/>
        <v>20</v>
      </c>
      <c r="C667" t="str">
        <f t="shared" si="97"/>
        <v>2020/21</v>
      </c>
      <c r="D667" t="str">
        <f>"SC SB 216624"</f>
        <v>SC SB 216624</v>
      </c>
      <c r="E667" t="str">
        <f t="shared" si="98"/>
        <v>SC</v>
      </c>
      <c r="F667" t="s">
        <v>33</v>
      </c>
      <c r="G667" t="s">
        <v>30</v>
      </c>
      <c r="H667">
        <v>138.4</v>
      </c>
      <c r="I667" t="str">
        <f>"Elsie Whiteley Innovation Centre Ltd"</f>
        <v>Elsie Whiteley Innovation Centre Ltd</v>
      </c>
      <c r="J667" t="str">
        <f>"Room hire &amp; catering - Children Rent And Rates Premises And Related Expenses Safeguarding Board Childrens Care Services"</f>
        <v>Room hire &amp; catering - Children Rent And Rates Premises And Related Expenses Safeguarding Board Childrens Care Services</v>
      </c>
    </row>
    <row r="668" spans="1:10" x14ac:dyDescent="0.35">
      <c r="A668" t="str">
        <f t="shared" si="100"/>
        <v>JUL</v>
      </c>
      <c r="B668" t="str">
        <f t="shared" si="96"/>
        <v>20</v>
      </c>
      <c r="C668" t="str">
        <f t="shared" si="97"/>
        <v>2020/21</v>
      </c>
      <c r="D668" t="str">
        <f>"SS PJ 114755"</f>
        <v>SS PJ 114755</v>
      </c>
      <c r="E668" t="str">
        <f t="shared" si="98"/>
        <v>SS</v>
      </c>
      <c r="F668" t="s">
        <v>25</v>
      </c>
      <c r="G668" t="s">
        <v>22</v>
      </c>
      <c r="H668">
        <v>500</v>
      </c>
      <c r="I668" t="str">
        <f>"Project Colt"</f>
        <v>Project Colt</v>
      </c>
      <c r="J668" t="str">
        <f>"Bearders Trust Payments Miscellaneous Expenses Supplies And Services Operational Management (Prevention And Early Help) Adult Health &amp; Social Ca"</f>
        <v>Bearders Trust Payments Miscellaneous Expenses Supplies And Services Operational Management (Prevention And Early Help) Adult Health &amp; Social Ca</v>
      </c>
    </row>
    <row r="669" spans="1:10" x14ac:dyDescent="0.35">
      <c r="A669" t="str">
        <f t="shared" si="100"/>
        <v>JUL</v>
      </c>
      <c r="B669" t="str">
        <f t="shared" si="96"/>
        <v>20</v>
      </c>
      <c r="C669" t="str">
        <f t="shared" si="97"/>
        <v>2020/21</v>
      </c>
      <c r="D669" t="str">
        <f>"SS CO 112753"</f>
        <v>SS CO 112753</v>
      </c>
      <c r="E669" t="str">
        <f t="shared" si="98"/>
        <v>SS</v>
      </c>
      <c r="F669" t="s">
        <v>25</v>
      </c>
      <c r="G669" t="s">
        <v>22</v>
      </c>
      <c r="H669">
        <v>26250</v>
      </c>
      <c r="I669" t="str">
        <f>"Calderdale Smartmove"</f>
        <v>Calderdale Smartmove</v>
      </c>
      <c r="J669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670" spans="1:10" x14ac:dyDescent="0.35">
      <c r="A670" t="str">
        <f t="shared" si="100"/>
        <v>JUL</v>
      </c>
      <c r="B670" t="str">
        <f t="shared" si="96"/>
        <v>20</v>
      </c>
      <c r="C670" t="str">
        <f t="shared" si="97"/>
        <v>2020/21</v>
      </c>
      <c r="D670" t="str">
        <f>"SS CO 112753"</f>
        <v>SS CO 112753</v>
      </c>
      <c r="E670" t="str">
        <f t="shared" si="98"/>
        <v>SS</v>
      </c>
      <c r="F670" t="s">
        <v>25</v>
      </c>
      <c r="G670" t="s">
        <v>22</v>
      </c>
      <c r="H670">
        <v>26250</v>
      </c>
      <c r="I670" t="str">
        <f>"Calderdale Smartmove"</f>
        <v>Calderdale Smartmove</v>
      </c>
      <c r="J670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671" spans="1:10" x14ac:dyDescent="0.35">
      <c r="A671" t="str">
        <f t="shared" si="100"/>
        <v>JUL</v>
      </c>
      <c r="B671" t="str">
        <f t="shared" si="96"/>
        <v>20</v>
      </c>
      <c r="C671" t="str">
        <f t="shared" si="97"/>
        <v>2020/21</v>
      </c>
      <c r="D671" t="str">
        <f>"SS SL 114876"</f>
        <v>SS SL 114876</v>
      </c>
      <c r="E671" t="str">
        <f t="shared" si="98"/>
        <v>SS</v>
      </c>
      <c r="F671" t="s">
        <v>25</v>
      </c>
      <c r="G671" t="s">
        <v>22</v>
      </c>
      <c r="H671">
        <v>2241</v>
      </c>
      <c r="I671" t="str">
        <f t="shared" ref="I671:I677" si="101">"Mencap Northern Division"</f>
        <v>Mencap Northern Division</v>
      </c>
      <c r="J671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672" spans="1:10" x14ac:dyDescent="0.35">
      <c r="A672" t="str">
        <f t="shared" si="100"/>
        <v>JUL</v>
      </c>
      <c r="B672" t="str">
        <f t="shared" si="96"/>
        <v>20</v>
      </c>
      <c r="C672" t="str">
        <f t="shared" si="97"/>
        <v>2020/21</v>
      </c>
      <c r="D672" t="str">
        <f>"SS SL 114876"</f>
        <v>SS SL 114876</v>
      </c>
      <c r="E672" t="str">
        <f t="shared" si="98"/>
        <v>SS</v>
      </c>
      <c r="F672" t="s">
        <v>25</v>
      </c>
      <c r="G672" t="s">
        <v>22</v>
      </c>
      <c r="H672">
        <v>3203.8</v>
      </c>
      <c r="I672" t="str">
        <f t="shared" si="101"/>
        <v>Mencap Northern Division</v>
      </c>
      <c r="J672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673" spans="1:10" x14ac:dyDescent="0.35">
      <c r="A673" t="str">
        <f t="shared" si="100"/>
        <v>JUL</v>
      </c>
      <c r="B673" t="str">
        <f t="shared" si="96"/>
        <v>20</v>
      </c>
      <c r="C673" t="str">
        <f t="shared" si="97"/>
        <v>2020/21</v>
      </c>
      <c r="D673" t="str">
        <f>"SS SL 114875"</f>
        <v>SS SL 114875</v>
      </c>
      <c r="E673" t="str">
        <f t="shared" si="98"/>
        <v>SS</v>
      </c>
      <c r="F673" t="s">
        <v>25</v>
      </c>
      <c r="G673" t="s">
        <v>22</v>
      </c>
      <c r="H673">
        <v>2324</v>
      </c>
      <c r="I673" t="str">
        <f t="shared" si="101"/>
        <v>Mencap Northern Division</v>
      </c>
      <c r="J673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674" spans="1:10" x14ac:dyDescent="0.35">
      <c r="A674" t="str">
        <f t="shared" si="100"/>
        <v>JUL</v>
      </c>
      <c r="B674" t="str">
        <f t="shared" si="96"/>
        <v>20</v>
      </c>
      <c r="C674" t="str">
        <f t="shared" si="97"/>
        <v>2020/21</v>
      </c>
      <c r="D674" t="str">
        <f>"SS SL 114875"</f>
        <v>SS SL 114875</v>
      </c>
      <c r="E674" t="str">
        <f t="shared" si="98"/>
        <v>SS</v>
      </c>
      <c r="F674" t="s">
        <v>25</v>
      </c>
      <c r="G674" t="s">
        <v>22</v>
      </c>
      <c r="H674">
        <v>2324</v>
      </c>
      <c r="I674" t="str">
        <f t="shared" si="101"/>
        <v>Mencap Northern Division</v>
      </c>
      <c r="J674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675" spans="1:10" x14ac:dyDescent="0.35">
      <c r="A675" t="str">
        <f t="shared" si="100"/>
        <v>JUL</v>
      </c>
      <c r="B675" t="str">
        <f t="shared" si="96"/>
        <v>20</v>
      </c>
      <c r="C675" t="str">
        <f t="shared" si="97"/>
        <v>2020/21</v>
      </c>
      <c r="D675" t="str">
        <f>"SS SL 114875"</f>
        <v>SS SL 114875</v>
      </c>
      <c r="E675" t="str">
        <f t="shared" si="98"/>
        <v>SS</v>
      </c>
      <c r="F675" t="s">
        <v>25</v>
      </c>
      <c r="G675" t="s">
        <v>22</v>
      </c>
      <c r="H675">
        <v>2722.4</v>
      </c>
      <c r="I675" t="str">
        <f t="shared" si="101"/>
        <v>Mencap Northern Division</v>
      </c>
      <c r="J675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676" spans="1:10" x14ac:dyDescent="0.35">
      <c r="A676" t="str">
        <f t="shared" si="100"/>
        <v>JUL</v>
      </c>
      <c r="B676" t="str">
        <f t="shared" si="96"/>
        <v>20</v>
      </c>
      <c r="C676" t="str">
        <f t="shared" si="97"/>
        <v>2020/21</v>
      </c>
      <c r="D676" t="str">
        <f>"SS SL 114875"</f>
        <v>SS SL 114875</v>
      </c>
      <c r="E676" t="str">
        <f t="shared" si="98"/>
        <v>SS</v>
      </c>
      <c r="F676" t="s">
        <v>25</v>
      </c>
      <c r="G676" t="s">
        <v>22</v>
      </c>
      <c r="H676">
        <v>2284.8000000000002</v>
      </c>
      <c r="I676" t="str">
        <f t="shared" si="101"/>
        <v>Mencap Northern Division</v>
      </c>
      <c r="J676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677" spans="1:10" x14ac:dyDescent="0.35">
      <c r="A677" t="str">
        <f t="shared" si="100"/>
        <v>JUL</v>
      </c>
      <c r="B677" t="str">
        <f t="shared" si="96"/>
        <v>20</v>
      </c>
      <c r="C677" t="str">
        <f t="shared" si="97"/>
        <v>2020/21</v>
      </c>
      <c r="D677" t="str">
        <f>"SS SL 114875"</f>
        <v>SS SL 114875</v>
      </c>
      <c r="E677" t="str">
        <f t="shared" si="98"/>
        <v>SS</v>
      </c>
      <c r="F677" t="s">
        <v>25</v>
      </c>
      <c r="G677" t="s">
        <v>22</v>
      </c>
      <c r="H677">
        <v>1859.2</v>
      </c>
      <c r="I677" t="str">
        <f t="shared" si="101"/>
        <v>Mencap Northern Division</v>
      </c>
      <c r="J677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678" spans="1:10" x14ac:dyDescent="0.35">
      <c r="A678" t="str">
        <f t="shared" si="100"/>
        <v>JUL</v>
      </c>
      <c r="B678" t="str">
        <f t="shared" si="96"/>
        <v>20</v>
      </c>
      <c r="C678" t="str">
        <f t="shared" si="97"/>
        <v>2020/21</v>
      </c>
      <c r="D678" t="str">
        <f>"SS SL 113560"</f>
        <v>SS SL 113560</v>
      </c>
      <c r="E678" t="str">
        <f t="shared" si="98"/>
        <v>SS</v>
      </c>
      <c r="F678" t="s">
        <v>25</v>
      </c>
      <c r="G678" t="s">
        <v>22</v>
      </c>
      <c r="H678">
        <v>2639.96</v>
      </c>
      <c r="I678" t="str">
        <f>"Camphill Village Trust"</f>
        <v>Camphill Village Trust</v>
      </c>
      <c r="J678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679" spans="1:10" x14ac:dyDescent="0.35">
      <c r="A679" t="str">
        <f t="shared" si="100"/>
        <v>JUL</v>
      </c>
      <c r="B679" t="str">
        <f t="shared" si="96"/>
        <v>20</v>
      </c>
      <c r="C679" t="str">
        <f t="shared" si="97"/>
        <v>2020/21</v>
      </c>
      <c r="D679" t="str">
        <f t="shared" ref="D679:D692" si="102">"SS SL 114846"</f>
        <v>SS SL 114846</v>
      </c>
      <c r="E679" t="str">
        <f t="shared" si="98"/>
        <v>SS</v>
      </c>
      <c r="F679" t="s">
        <v>25</v>
      </c>
      <c r="G679" t="s">
        <v>22</v>
      </c>
      <c r="H679">
        <v>1311.4</v>
      </c>
      <c r="I679" t="str">
        <f t="shared" ref="I679:I692" si="103">"The Mayfield Trust"</f>
        <v>The Mayfield Trust</v>
      </c>
      <c r="J679" t="str">
        <f t="shared" ref="J679:J692" si="104"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680" spans="1:10" x14ac:dyDescent="0.35">
      <c r="A680" t="str">
        <f t="shared" si="100"/>
        <v>JUL</v>
      </c>
      <c r="B680" t="str">
        <f t="shared" si="96"/>
        <v>20</v>
      </c>
      <c r="C680" t="str">
        <f t="shared" si="97"/>
        <v>2020/21</v>
      </c>
      <c r="D680" t="str">
        <f t="shared" si="102"/>
        <v>SS SL 114846</v>
      </c>
      <c r="E680" t="str">
        <f t="shared" si="98"/>
        <v>SS</v>
      </c>
      <c r="F680" t="s">
        <v>25</v>
      </c>
      <c r="G680" t="s">
        <v>22</v>
      </c>
      <c r="H680">
        <v>1460.8</v>
      </c>
      <c r="I680" t="str">
        <f t="shared" si="103"/>
        <v>The Mayfield Trust</v>
      </c>
      <c r="J680" t="str">
        <f t="shared" si="104"/>
        <v>Pye Nest Road (Mayfield Trust) Private Contractors Agency And Contracted Services Supported Living Adult Health &amp; Social Care</v>
      </c>
    </row>
    <row r="681" spans="1:10" x14ac:dyDescent="0.35">
      <c r="A681" t="str">
        <f t="shared" si="100"/>
        <v>JUL</v>
      </c>
      <c r="B681" t="str">
        <f t="shared" si="96"/>
        <v>20</v>
      </c>
      <c r="C681" t="str">
        <f t="shared" si="97"/>
        <v>2020/21</v>
      </c>
      <c r="D681" t="str">
        <f t="shared" si="102"/>
        <v>SS SL 114846</v>
      </c>
      <c r="E681" t="str">
        <f t="shared" si="98"/>
        <v>SS</v>
      </c>
      <c r="F681" t="s">
        <v>25</v>
      </c>
      <c r="G681" t="s">
        <v>22</v>
      </c>
      <c r="H681">
        <v>1278.2</v>
      </c>
      <c r="I681" t="str">
        <f t="shared" si="103"/>
        <v>The Mayfield Trust</v>
      </c>
      <c r="J681" t="str">
        <f t="shared" si="104"/>
        <v>Pye Nest Road (Mayfield Trust) Private Contractors Agency And Contracted Services Supported Living Adult Health &amp; Social Care</v>
      </c>
    </row>
    <row r="682" spans="1:10" x14ac:dyDescent="0.35">
      <c r="A682" t="str">
        <f t="shared" si="100"/>
        <v>JUL</v>
      </c>
      <c r="B682" t="str">
        <f t="shared" si="96"/>
        <v>20</v>
      </c>
      <c r="C682" t="str">
        <f t="shared" si="97"/>
        <v>2020/21</v>
      </c>
      <c r="D682" t="str">
        <f t="shared" si="102"/>
        <v>SS SL 114846</v>
      </c>
      <c r="E682" t="str">
        <f t="shared" si="98"/>
        <v>SS</v>
      </c>
      <c r="F682" t="s">
        <v>25</v>
      </c>
      <c r="G682" t="s">
        <v>22</v>
      </c>
      <c r="H682">
        <v>1328</v>
      </c>
      <c r="I682" t="str">
        <f t="shared" si="103"/>
        <v>The Mayfield Trust</v>
      </c>
      <c r="J682" t="str">
        <f t="shared" si="104"/>
        <v>Pye Nest Road (Mayfield Trust) Private Contractors Agency And Contracted Services Supported Living Adult Health &amp; Social Care</v>
      </c>
    </row>
    <row r="683" spans="1:10" x14ac:dyDescent="0.35">
      <c r="A683" t="str">
        <f t="shared" si="100"/>
        <v>JUL</v>
      </c>
      <c r="B683" t="str">
        <f t="shared" si="96"/>
        <v>20</v>
      </c>
      <c r="C683" t="str">
        <f t="shared" si="97"/>
        <v>2020/21</v>
      </c>
      <c r="D683" t="str">
        <f t="shared" si="102"/>
        <v>SS SL 114846</v>
      </c>
      <c r="E683" t="str">
        <f t="shared" si="98"/>
        <v>SS</v>
      </c>
      <c r="F683" t="s">
        <v>25</v>
      </c>
      <c r="G683" t="s">
        <v>22</v>
      </c>
      <c r="H683">
        <v>1460.8</v>
      </c>
      <c r="I683" t="str">
        <f t="shared" si="103"/>
        <v>The Mayfield Trust</v>
      </c>
      <c r="J683" t="str">
        <f t="shared" si="104"/>
        <v>Pye Nest Road (Mayfield Trust) Private Contractors Agency And Contracted Services Supported Living Adult Health &amp; Social Care</v>
      </c>
    </row>
    <row r="684" spans="1:10" x14ac:dyDescent="0.35">
      <c r="A684" t="str">
        <f t="shared" si="100"/>
        <v>JUL</v>
      </c>
      <c r="B684" t="str">
        <f t="shared" si="96"/>
        <v>20</v>
      </c>
      <c r="C684" t="str">
        <f t="shared" si="97"/>
        <v>2020/21</v>
      </c>
      <c r="D684" t="str">
        <f t="shared" si="102"/>
        <v>SS SL 114846</v>
      </c>
      <c r="E684" t="str">
        <f t="shared" si="98"/>
        <v>SS</v>
      </c>
      <c r="F684" t="s">
        <v>25</v>
      </c>
      <c r="G684" t="s">
        <v>22</v>
      </c>
      <c r="H684">
        <v>1142.4000000000001</v>
      </c>
      <c r="I684" t="str">
        <f t="shared" si="103"/>
        <v>The Mayfield Trust</v>
      </c>
      <c r="J684" t="str">
        <f t="shared" si="104"/>
        <v>Pye Nest Road (Mayfield Trust) Private Contractors Agency And Contracted Services Supported Living Adult Health &amp; Social Care</v>
      </c>
    </row>
    <row r="685" spans="1:10" x14ac:dyDescent="0.35">
      <c r="A685" t="str">
        <f t="shared" si="100"/>
        <v>JUL</v>
      </c>
      <c r="B685" t="str">
        <f t="shared" si="96"/>
        <v>20</v>
      </c>
      <c r="C685" t="str">
        <f t="shared" si="97"/>
        <v>2020/21</v>
      </c>
      <c r="D685" t="str">
        <f t="shared" si="102"/>
        <v>SS SL 114846</v>
      </c>
      <c r="E685" t="str">
        <f t="shared" si="98"/>
        <v>SS</v>
      </c>
      <c r="F685" t="s">
        <v>25</v>
      </c>
      <c r="G685" t="s">
        <v>22</v>
      </c>
      <c r="H685">
        <v>913</v>
      </c>
      <c r="I685" t="str">
        <f t="shared" si="103"/>
        <v>The Mayfield Trust</v>
      </c>
      <c r="J685" t="str">
        <f t="shared" si="104"/>
        <v>Pye Nest Road (Mayfield Trust) Private Contractors Agency And Contracted Services Supported Living Adult Health &amp; Social Care</v>
      </c>
    </row>
    <row r="686" spans="1:10" x14ac:dyDescent="0.35">
      <c r="A686" t="str">
        <f t="shared" si="100"/>
        <v>JUL</v>
      </c>
      <c r="B686" t="str">
        <f t="shared" si="96"/>
        <v>20</v>
      </c>
      <c r="C686" t="str">
        <f t="shared" si="97"/>
        <v>2020/21</v>
      </c>
      <c r="D686" t="str">
        <f t="shared" si="102"/>
        <v>SS SL 114846</v>
      </c>
      <c r="E686" t="str">
        <f t="shared" si="98"/>
        <v>SS</v>
      </c>
      <c r="F686" t="s">
        <v>25</v>
      </c>
      <c r="G686" t="s">
        <v>22</v>
      </c>
      <c r="H686">
        <v>2656</v>
      </c>
      <c r="I686" t="str">
        <f t="shared" si="103"/>
        <v>The Mayfield Trust</v>
      </c>
      <c r="J686" t="str">
        <f t="shared" si="104"/>
        <v>Pye Nest Road (Mayfield Trust) Private Contractors Agency And Contracted Services Supported Living Adult Health &amp; Social Care</v>
      </c>
    </row>
    <row r="687" spans="1:10" x14ac:dyDescent="0.35">
      <c r="A687" t="str">
        <f t="shared" si="100"/>
        <v>JUL</v>
      </c>
      <c r="B687" t="str">
        <f t="shared" si="96"/>
        <v>20</v>
      </c>
      <c r="C687" t="str">
        <f t="shared" si="97"/>
        <v>2020/21</v>
      </c>
      <c r="D687" t="str">
        <f t="shared" si="102"/>
        <v>SS SL 114846</v>
      </c>
      <c r="E687" t="str">
        <f t="shared" si="98"/>
        <v>SS</v>
      </c>
      <c r="F687" t="s">
        <v>25</v>
      </c>
      <c r="G687" t="s">
        <v>22</v>
      </c>
      <c r="H687">
        <v>2284.8000000000002</v>
      </c>
      <c r="I687" t="str">
        <f t="shared" si="103"/>
        <v>The Mayfield Trust</v>
      </c>
      <c r="J687" t="str">
        <f t="shared" si="104"/>
        <v>Pye Nest Road (Mayfield Trust) Private Contractors Agency And Contracted Services Supported Living Adult Health &amp; Social Care</v>
      </c>
    </row>
    <row r="688" spans="1:10" x14ac:dyDescent="0.35">
      <c r="A688" t="str">
        <f t="shared" si="100"/>
        <v>JUL</v>
      </c>
      <c r="B688" t="str">
        <f t="shared" si="96"/>
        <v>20</v>
      </c>
      <c r="C688" t="str">
        <f t="shared" si="97"/>
        <v>2020/21</v>
      </c>
      <c r="D688" t="str">
        <f t="shared" si="102"/>
        <v>SS SL 114846</v>
      </c>
      <c r="E688" t="str">
        <f t="shared" si="98"/>
        <v>SS</v>
      </c>
      <c r="F688" t="s">
        <v>25</v>
      </c>
      <c r="G688" t="s">
        <v>22</v>
      </c>
      <c r="H688">
        <v>2622.8</v>
      </c>
      <c r="I688" t="str">
        <f t="shared" si="103"/>
        <v>The Mayfield Trust</v>
      </c>
      <c r="J688" t="str">
        <f t="shared" si="104"/>
        <v>Pye Nest Road (Mayfield Trust) Private Contractors Agency And Contracted Services Supported Living Adult Health &amp; Social Care</v>
      </c>
    </row>
    <row r="689" spans="1:10" x14ac:dyDescent="0.35">
      <c r="A689" t="str">
        <f t="shared" si="100"/>
        <v>JUL</v>
      </c>
      <c r="B689" t="str">
        <f t="shared" si="96"/>
        <v>20</v>
      </c>
      <c r="C689" t="str">
        <f t="shared" si="97"/>
        <v>2020/21</v>
      </c>
      <c r="D689" t="str">
        <f t="shared" si="102"/>
        <v>SS SL 114846</v>
      </c>
      <c r="E689" t="str">
        <f t="shared" si="98"/>
        <v>SS</v>
      </c>
      <c r="F689" t="s">
        <v>25</v>
      </c>
      <c r="G689" t="s">
        <v>22</v>
      </c>
      <c r="H689">
        <v>2921.6</v>
      </c>
      <c r="I689" t="str">
        <f t="shared" si="103"/>
        <v>The Mayfield Trust</v>
      </c>
      <c r="J689" t="str">
        <f t="shared" si="104"/>
        <v>Pye Nest Road (Mayfield Trust) Private Contractors Agency And Contracted Services Supported Living Adult Health &amp; Social Care</v>
      </c>
    </row>
    <row r="690" spans="1:10" x14ac:dyDescent="0.35">
      <c r="A690" t="str">
        <f t="shared" si="100"/>
        <v>JUL</v>
      </c>
      <c r="B690" t="str">
        <f t="shared" si="96"/>
        <v>20</v>
      </c>
      <c r="C690" t="str">
        <f t="shared" si="97"/>
        <v>2020/21</v>
      </c>
      <c r="D690" t="str">
        <f t="shared" si="102"/>
        <v>SS SL 114846</v>
      </c>
      <c r="E690" t="str">
        <f t="shared" si="98"/>
        <v>SS</v>
      </c>
      <c r="F690" t="s">
        <v>25</v>
      </c>
      <c r="G690" t="s">
        <v>22</v>
      </c>
      <c r="H690">
        <v>1826</v>
      </c>
      <c r="I690" t="str">
        <f t="shared" si="103"/>
        <v>The Mayfield Trust</v>
      </c>
      <c r="J690" t="str">
        <f t="shared" si="104"/>
        <v>Pye Nest Road (Mayfield Trust) Private Contractors Agency And Contracted Services Supported Living Adult Health &amp; Social Care</v>
      </c>
    </row>
    <row r="691" spans="1:10" x14ac:dyDescent="0.35">
      <c r="A691" t="str">
        <f t="shared" si="100"/>
        <v>JUL</v>
      </c>
      <c r="B691" t="str">
        <f t="shared" si="96"/>
        <v>20</v>
      </c>
      <c r="C691" t="str">
        <f t="shared" si="97"/>
        <v>2020/21</v>
      </c>
      <c r="D691" t="str">
        <f t="shared" si="102"/>
        <v>SS SL 114846</v>
      </c>
      <c r="E691" t="str">
        <f t="shared" si="98"/>
        <v>SS</v>
      </c>
      <c r="F691" t="s">
        <v>25</v>
      </c>
      <c r="G691" t="s">
        <v>22</v>
      </c>
      <c r="H691">
        <v>2556.4</v>
      </c>
      <c r="I691" t="str">
        <f t="shared" si="103"/>
        <v>The Mayfield Trust</v>
      </c>
      <c r="J691" t="str">
        <f t="shared" si="104"/>
        <v>Pye Nest Road (Mayfield Trust) Private Contractors Agency And Contracted Services Supported Living Adult Health &amp; Social Care</v>
      </c>
    </row>
    <row r="692" spans="1:10" x14ac:dyDescent="0.35">
      <c r="A692" t="str">
        <f t="shared" si="100"/>
        <v>JUL</v>
      </c>
      <c r="B692" t="str">
        <f t="shared" si="96"/>
        <v>20</v>
      </c>
      <c r="C692" t="str">
        <f t="shared" si="97"/>
        <v>2020/21</v>
      </c>
      <c r="D692" t="str">
        <f t="shared" si="102"/>
        <v>SS SL 114846</v>
      </c>
      <c r="E692" t="str">
        <f t="shared" si="98"/>
        <v>SS</v>
      </c>
      <c r="F692" t="s">
        <v>25</v>
      </c>
      <c r="G692" t="s">
        <v>22</v>
      </c>
      <c r="H692">
        <v>2921.6</v>
      </c>
      <c r="I692" t="str">
        <f t="shared" si="103"/>
        <v>The Mayfield Trust</v>
      </c>
      <c r="J692" t="str">
        <f t="shared" si="104"/>
        <v>Pye Nest Road (Mayfield Trust) Private Contractors Agency And Contracted Services Supported Living Adult Health &amp; Social Care</v>
      </c>
    </row>
    <row r="693" spans="1:10" x14ac:dyDescent="0.35">
      <c r="A693" t="str">
        <f t="shared" si="100"/>
        <v>JUL</v>
      </c>
      <c r="B693" t="str">
        <f t="shared" si="96"/>
        <v>20</v>
      </c>
      <c r="C693" t="str">
        <f t="shared" si="97"/>
        <v>2020/21</v>
      </c>
      <c r="D693" t="str">
        <f>"SS SL 110337"</f>
        <v>SS SL 110337</v>
      </c>
      <c r="E693" t="str">
        <f t="shared" si="98"/>
        <v>SS</v>
      </c>
      <c r="F693" t="s">
        <v>25</v>
      </c>
      <c r="G693" t="s">
        <v>22</v>
      </c>
      <c r="H693">
        <v>1455.99</v>
      </c>
      <c r="I693" t="str">
        <f>"Future Directions CIC"</f>
        <v>Future Directions CIC</v>
      </c>
      <c r="J693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694" spans="1:10" x14ac:dyDescent="0.35">
      <c r="A694" t="str">
        <f t="shared" si="100"/>
        <v>JUL</v>
      </c>
      <c r="B694" t="str">
        <f t="shared" si="96"/>
        <v>20</v>
      </c>
      <c r="C694" t="str">
        <f t="shared" si="97"/>
        <v>2020/21</v>
      </c>
      <c r="D694" t="str">
        <f>"SS SL 110337"</f>
        <v>SS SL 110337</v>
      </c>
      <c r="E694" t="str">
        <f t="shared" si="98"/>
        <v>SS</v>
      </c>
      <c r="F694" t="s">
        <v>25</v>
      </c>
      <c r="G694" t="s">
        <v>22</v>
      </c>
      <c r="H694">
        <v>3920</v>
      </c>
      <c r="I694" t="str">
        <f>"Future Directions CIC"</f>
        <v>Future Directions CIC</v>
      </c>
      <c r="J694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695" spans="1:10" x14ac:dyDescent="0.35">
      <c r="A695" t="str">
        <f t="shared" si="100"/>
        <v>JUL</v>
      </c>
      <c r="B695" t="str">
        <f t="shared" si="96"/>
        <v>20</v>
      </c>
      <c r="C695" t="str">
        <f t="shared" si="97"/>
        <v>2020/21</v>
      </c>
      <c r="D695" t="str">
        <f>"SS SL 110337"</f>
        <v>SS SL 110337</v>
      </c>
      <c r="E695" t="str">
        <f t="shared" si="98"/>
        <v>SS</v>
      </c>
      <c r="F695" t="s">
        <v>25</v>
      </c>
      <c r="G695" t="s">
        <v>22</v>
      </c>
      <c r="H695">
        <v>5141.46</v>
      </c>
      <c r="I695" t="str">
        <f>"Future Directions CIC"</f>
        <v>Future Directions CIC</v>
      </c>
      <c r="J695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696" spans="1:10" x14ac:dyDescent="0.35">
      <c r="A696" t="str">
        <f t="shared" si="100"/>
        <v>JUL</v>
      </c>
      <c r="B696" t="str">
        <f t="shared" si="96"/>
        <v>20</v>
      </c>
      <c r="C696" t="str">
        <f t="shared" si="97"/>
        <v>2020/21</v>
      </c>
      <c r="D696" t="str">
        <f>"SS SL 110337"</f>
        <v>SS SL 110337</v>
      </c>
      <c r="E696" t="str">
        <f t="shared" si="98"/>
        <v>SS</v>
      </c>
      <c r="F696" t="s">
        <v>25</v>
      </c>
      <c r="G696" t="s">
        <v>22</v>
      </c>
      <c r="H696">
        <v>2155.71</v>
      </c>
      <c r="I696" t="str">
        <f>"Future Directions CIC"</f>
        <v>Future Directions CIC</v>
      </c>
      <c r="J696" t="str">
        <f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697" spans="1:10" x14ac:dyDescent="0.35">
      <c r="A697" t="str">
        <f t="shared" si="100"/>
        <v>JUL</v>
      </c>
      <c r="B697" t="str">
        <f t="shared" si="96"/>
        <v>20</v>
      </c>
      <c r="C697" t="str">
        <f t="shared" si="97"/>
        <v>2020/21</v>
      </c>
      <c r="D697" t="str">
        <f t="shared" ref="D697:D710" si="105">"SS SL 114847"</f>
        <v>SS SL 114847</v>
      </c>
      <c r="E697" t="str">
        <f t="shared" si="98"/>
        <v>SS</v>
      </c>
      <c r="F697" t="s">
        <v>25</v>
      </c>
      <c r="G697" t="s">
        <v>22</v>
      </c>
      <c r="H697">
        <v>3369.8</v>
      </c>
      <c r="I697" t="str">
        <f t="shared" ref="I697:I710" si="106">"The Mayfield Trust"</f>
        <v>The Mayfield Trust</v>
      </c>
      <c r="J697" t="str">
        <f t="shared" ref="J697:J710" si="107"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698" spans="1:10" x14ac:dyDescent="0.35">
      <c r="A698" t="str">
        <f t="shared" si="100"/>
        <v>JUL</v>
      </c>
      <c r="B698" t="str">
        <f t="shared" si="96"/>
        <v>20</v>
      </c>
      <c r="C698" t="str">
        <f t="shared" si="97"/>
        <v>2020/21</v>
      </c>
      <c r="D698" t="str">
        <f t="shared" si="105"/>
        <v>SS SL 114847</v>
      </c>
      <c r="E698" t="str">
        <f t="shared" si="98"/>
        <v>SS</v>
      </c>
      <c r="F698" t="s">
        <v>25</v>
      </c>
      <c r="G698" t="s">
        <v>22</v>
      </c>
      <c r="H698">
        <v>1195.2</v>
      </c>
      <c r="I698" t="str">
        <f t="shared" si="106"/>
        <v>The Mayfield Trust</v>
      </c>
      <c r="J698" t="str">
        <f t="shared" si="107"/>
        <v>Dalecroft (Mayfield Trust) Private Contractors Agency And Contracted Services Supported Living Adult Health &amp; Social Care</v>
      </c>
    </row>
    <row r="699" spans="1:10" x14ac:dyDescent="0.35">
      <c r="A699" t="str">
        <f t="shared" si="100"/>
        <v>JUL</v>
      </c>
      <c r="B699" t="str">
        <f t="shared" si="96"/>
        <v>20</v>
      </c>
      <c r="C699" t="str">
        <f t="shared" si="97"/>
        <v>2020/21</v>
      </c>
      <c r="D699" t="str">
        <f t="shared" si="105"/>
        <v>SS SL 114847</v>
      </c>
      <c r="E699" t="str">
        <f t="shared" si="98"/>
        <v>SS</v>
      </c>
      <c r="F699" t="s">
        <v>25</v>
      </c>
      <c r="G699" t="s">
        <v>22</v>
      </c>
      <c r="H699">
        <v>1859.2</v>
      </c>
      <c r="I699" t="str">
        <f t="shared" si="106"/>
        <v>The Mayfield Trust</v>
      </c>
      <c r="J699" t="str">
        <f t="shared" si="107"/>
        <v>Dalecroft (Mayfield Trust) Private Contractors Agency And Contracted Services Supported Living Adult Health &amp; Social Care</v>
      </c>
    </row>
    <row r="700" spans="1:10" x14ac:dyDescent="0.35">
      <c r="A700" t="str">
        <f t="shared" si="100"/>
        <v>JUL</v>
      </c>
      <c r="B700" t="str">
        <f t="shared" si="96"/>
        <v>20</v>
      </c>
      <c r="C700" t="str">
        <f t="shared" si="97"/>
        <v>2020/21</v>
      </c>
      <c r="D700" t="str">
        <f t="shared" si="105"/>
        <v>SS SL 114847</v>
      </c>
      <c r="E700" t="str">
        <f t="shared" si="98"/>
        <v>SS</v>
      </c>
      <c r="F700" t="s">
        <v>25</v>
      </c>
      <c r="G700" t="s">
        <v>22</v>
      </c>
      <c r="H700">
        <v>1195.2</v>
      </c>
      <c r="I700" t="str">
        <f t="shared" si="106"/>
        <v>The Mayfield Trust</v>
      </c>
      <c r="J700" t="str">
        <f t="shared" si="107"/>
        <v>Dalecroft (Mayfield Trust) Private Contractors Agency And Contracted Services Supported Living Adult Health &amp; Social Care</v>
      </c>
    </row>
    <row r="701" spans="1:10" x14ac:dyDescent="0.35">
      <c r="A701" t="str">
        <f t="shared" si="100"/>
        <v>JUL</v>
      </c>
      <c r="B701" t="str">
        <f t="shared" si="96"/>
        <v>20</v>
      </c>
      <c r="C701" t="str">
        <f t="shared" si="97"/>
        <v>2020/21</v>
      </c>
      <c r="D701" t="str">
        <f t="shared" si="105"/>
        <v>SS SL 114847</v>
      </c>
      <c r="E701" t="str">
        <f t="shared" si="98"/>
        <v>SS</v>
      </c>
      <c r="F701" t="s">
        <v>25</v>
      </c>
      <c r="G701" t="s">
        <v>22</v>
      </c>
      <c r="H701">
        <v>1195.2</v>
      </c>
      <c r="I701" t="str">
        <f t="shared" si="106"/>
        <v>The Mayfield Trust</v>
      </c>
      <c r="J701" t="str">
        <f t="shared" si="107"/>
        <v>Dalecroft (Mayfield Trust) Private Contractors Agency And Contracted Services Supported Living Adult Health &amp; Social Care</v>
      </c>
    </row>
    <row r="702" spans="1:10" x14ac:dyDescent="0.35">
      <c r="A702" t="str">
        <f t="shared" si="100"/>
        <v>JUL</v>
      </c>
      <c r="B702" t="str">
        <f t="shared" si="96"/>
        <v>20</v>
      </c>
      <c r="C702" t="str">
        <f t="shared" si="97"/>
        <v>2020/21</v>
      </c>
      <c r="D702" t="str">
        <f t="shared" si="105"/>
        <v>SS SL 114847</v>
      </c>
      <c r="E702" t="str">
        <f t="shared" si="98"/>
        <v>SS</v>
      </c>
      <c r="F702" t="s">
        <v>25</v>
      </c>
      <c r="G702" t="s">
        <v>22</v>
      </c>
      <c r="H702">
        <v>1195.2</v>
      </c>
      <c r="I702" t="str">
        <f t="shared" si="106"/>
        <v>The Mayfield Trust</v>
      </c>
      <c r="J702" t="str">
        <f t="shared" si="107"/>
        <v>Dalecroft (Mayfield Trust) Private Contractors Agency And Contracted Services Supported Living Adult Health &amp; Social Care</v>
      </c>
    </row>
    <row r="703" spans="1:10" x14ac:dyDescent="0.35">
      <c r="A703" t="str">
        <f t="shared" si="100"/>
        <v>JUL</v>
      </c>
      <c r="B703" t="str">
        <f t="shared" si="96"/>
        <v>20</v>
      </c>
      <c r="C703" t="str">
        <f t="shared" si="97"/>
        <v>2020/21</v>
      </c>
      <c r="D703" t="str">
        <f t="shared" si="105"/>
        <v>SS SL 114847</v>
      </c>
      <c r="E703" t="str">
        <f t="shared" si="98"/>
        <v>SS</v>
      </c>
      <c r="F703" t="s">
        <v>25</v>
      </c>
      <c r="G703" t="s">
        <v>22</v>
      </c>
      <c r="H703">
        <v>1195.2</v>
      </c>
      <c r="I703" t="str">
        <f t="shared" si="106"/>
        <v>The Mayfield Trust</v>
      </c>
      <c r="J703" t="str">
        <f t="shared" si="107"/>
        <v>Dalecroft (Mayfield Trust) Private Contractors Agency And Contracted Services Supported Living Adult Health &amp; Social Care</v>
      </c>
    </row>
    <row r="704" spans="1:10" x14ac:dyDescent="0.35">
      <c r="A704" t="str">
        <f t="shared" si="100"/>
        <v>JUL</v>
      </c>
      <c r="B704" t="str">
        <f t="shared" si="96"/>
        <v>20</v>
      </c>
      <c r="C704" t="str">
        <f t="shared" si="97"/>
        <v>2020/21</v>
      </c>
      <c r="D704" t="str">
        <f t="shared" si="105"/>
        <v>SS SL 114847</v>
      </c>
      <c r="E704" t="str">
        <f t="shared" si="98"/>
        <v>SS</v>
      </c>
      <c r="F704" t="s">
        <v>25</v>
      </c>
      <c r="G704" t="s">
        <v>22</v>
      </c>
      <c r="H704">
        <v>2390.4</v>
      </c>
      <c r="I704" t="str">
        <f t="shared" si="106"/>
        <v>The Mayfield Trust</v>
      </c>
      <c r="J704" t="str">
        <f t="shared" si="107"/>
        <v>Dalecroft (Mayfield Trust) Private Contractors Agency And Contracted Services Supported Living Adult Health &amp; Social Care</v>
      </c>
    </row>
    <row r="705" spans="1:10" x14ac:dyDescent="0.35">
      <c r="A705" t="str">
        <f t="shared" si="100"/>
        <v>JUL</v>
      </c>
      <c r="B705" t="str">
        <f t="shared" si="96"/>
        <v>20</v>
      </c>
      <c r="C705" t="str">
        <f t="shared" si="97"/>
        <v>2020/21</v>
      </c>
      <c r="D705" t="str">
        <f t="shared" si="105"/>
        <v>SS SL 114847</v>
      </c>
      <c r="E705" t="str">
        <f t="shared" si="98"/>
        <v>SS</v>
      </c>
      <c r="F705" t="s">
        <v>25</v>
      </c>
      <c r="G705" t="s">
        <v>22</v>
      </c>
      <c r="H705">
        <v>2390.4</v>
      </c>
      <c r="I705" t="str">
        <f t="shared" si="106"/>
        <v>The Mayfield Trust</v>
      </c>
      <c r="J705" t="str">
        <f t="shared" si="107"/>
        <v>Dalecroft (Mayfield Trust) Private Contractors Agency And Contracted Services Supported Living Adult Health &amp; Social Care</v>
      </c>
    </row>
    <row r="706" spans="1:10" x14ac:dyDescent="0.35">
      <c r="A706" t="str">
        <f t="shared" si="100"/>
        <v>JUL</v>
      </c>
      <c r="B706" t="str">
        <f t="shared" ref="B706:B769" si="108">"20"</f>
        <v>20</v>
      </c>
      <c r="C706" t="str">
        <f t="shared" ref="C706:C769" si="109">"2020/21"</f>
        <v>2020/21</v>
      </c>
      <c r="D706" t="str">
        <f t="shared" si="105"/>
        <v>SS SL 114847</v>
      </c>
      <c r="E706" t="str">
        <f t="shared" ref="E706:E769" si="110">LEFT(D706,2)</f>
        <v>SS</v>
      </c>
      <c r="F706" t="s">
        <v>25</v>
      </c>
      <c r="G706" t="s">
        <v>22</v>
      </c>
      <c r="H706">
        <v>3718.4</v>
      </c>
      <c r="I706" t="str">
        <f t="shared" si="106"/>
        <v>The Mayfield Trust</v>
      </c>
      <c r="J706" t="str">
        <f t="shared" si="107"/>
        <v>Dalecroft (Mayfield Trust) Private Contractors Agency And Contracted Services Supported Living Adult Health &amp; Social Care</v>
      </c>
    </row>
    <row r="707" spans="1:10" x14ac:dyDescent="0.35">
      <c r="A707" t="str">
        <f t="shared" si="100"/>
        <v>JUL</v>
      </c>
      <c r="B707" t="str">
        <f t="shared" si="108"/>
        <v>20</v>
      </c>
      <c r="C707" t="str">
        <f t="shared" si="109"/>
        <v>2020/21</v>
      </c>
      <c r="D707" t="str">
        <f t="shared" si="105"/>
        <v>SS SL 114847</v>
      </c>
      <c r="E707" t="str">
        <f t="shared" si="110"/>
        <v>SS</v>
      </c>
      <c r="F707" t="s">
        <v>25</v>
      </c>
      <c r="G707" t="s">
        <v>22</v>
      </c>
      <c r="H707">
        <v>2390.4</v>
      </c>
      <c r="I707" t="str">
        <f t="shared" si="106"/>
        <v>The Mayfield Trust</v>
      </c>
      <c r="J707" t="str">
        <f t="shared" si="107"/>
        <v>Dalecroft (Mayfield Trust) Private Contractors Agency And Contracted Services Supported Living Adult Health &amp; Social Care</v>
      </c>
    </row>
    <row r="708" spans="1:10" x14ac:dyDescent="0.35">
      <c r="A708" t="str">
        <f t="shared" si="100"/>
        <v>JUL</v>
      </c>
      <c r="B708" t="str">
        <f t="shared" si="108"/>
        <v>20</v>
      </c>
      <c r="C708" t="str">
        <f t="shared" si="109"/>
        <v>2020/21</v>
      </c>
      <c r="D708" t="str">
        <f t="shared" si="105"/>
        <v>SS SL 114847</v>
      </c>
      <c r="E708" t="str">
        <f t="shared" si="110"/>
        <v>SS</v>
      </c>
      <c r="F708" t="s">
        <v>25</v>
      </c>
      <c r="G708" t="s">
        <v>22</v>
      </c>
      <c r="H708">
        <v>6739.6</v>
      </c>
      <c r="I708" t="str">
        <f t="shared" si="106"/>
        <v>The Mayfield Trust</v>
      </c>
      <c r="J708" t="str">
        <f t="shared" si="107"/>
        <v>Dalecroft (Mayfield Trust) Private Contractors Agency And Contracted Services Supported Living Adult Health &amp; Social Care</v>
      </c>
    </row>
    <row r="709" spans="1:10" x14ac:dyDescent="0.35">
      <c r="A709" t="str">
        <f t="shared" si="100"/>
        <v>JUL</v>
      </c>
      <c r="B709" t="str">
        <f t="shared" si="108"/>
        <v>20</v>
      </c>
      <c r="C709" t="str">
        <f t="shared" si="109"/>
        <v>2020/21</v>
      </c>
      <c r="D709" t="str">
        <f t="shared" si="105"/>
        <v>SS SL 114847</v>
      </c>
      <c r="E709" t="str">
        <f t="shared" si="110"/>
        <v>SS</v>
      </c>
      <c r="F709" t="s">
        <v>25</v>
      </c>
      <c r="G709" t="s">
        <v>22</v>
      </c>
      <c r="H709">
        <v>2390.4</v>
      </c>
      <c r="I709" t="str">
        <f t="shared" si="106"/>
        <v>The Mayfield Trust</v>
      </c>
      <c r="J709" t="str">
        <f t="shared" si="107"/>
        <v>Dalecroft (Mayfield Trust) Private Contractors Agency And Contracted Services Supported Living Adult Health &amp; Social Care</v>
      </c>
    </row>
    <row r="710" spans="1:10" x14ac:dyDescent="0.35">
      <c r="A710" t="str">
        <f t="shared" si="100"/>
        <v>JUL</v>
      </c>
      <c r="B710" t="str">
        <f t="shared" si="108"/>
        <v>20</v>
      </c>
      <c r="C710" t="str">
        <f t="shared" si="109"/>
        <v>2020/21</v>
      </c>
      <c r="D710" t="str">
        <f t="shared" si="105"/>
        <v>SS SL 114847</v>
      </c>
      <c r="E710" t="str">
        <f t="shared" si="110"/>
        <v>SS</v>
      </c>
      <c r="F710" t="s">
        <v>25</v>
      </c>
      <c r="G710" t="s">
        <v>22</v>
      </c>
      <c r="H710">
        <v>2390.4</v>
      </c>
      <c r="I710" t="str">
        <f t="shared" si="106"/>
        <v>The Mayfield Trust</v>
      </c>
      <c r="J710" t="str">
        <f t="shared" si="107"/>
        <v>Dalecroft (Mayfield Trust) Private Contractors Agency And Contracted Services Supported Living Adult Health &amp; Social Care</v>
      </c>
    </row>
    <row r="711" spans="1:10" x14ac:dyDescent="0.35">
      <c r="A711" t="str">
        <f t="shared" si="100"/>
        <v>JUL</v>
      </c>
      <c r="B711" t="str">
        <f t="shared" si="108"/>
        <v>20</v>
      </c>
      <c r="C711" t="str">
        <f t="shared" si="109"/>
        <v>2020/21</v>
      </c>
      <c r="D711" t="str">
        <f>"SS SL 113638"</f>
        <v>SS SL 113638</v>
      </c>
      <c r="E711" t="str">
        <f t="shared" si="110"/>
        <v>SS</v>
      </c>
      <c r="F711" t="s">
        <v>25</v>
      </c>
      <c r="G711" t="s">
        <v>22</v>
      </c>
      <c r="H711">
        <v>4849.76</v>
      </c>
      <c r="I711" t="str">
        <f>"Autism Plus Ltd"</f>
        <v>Autism Plus Ltd</v>
      </c>
      <c r="J711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712" spans="1:10" x14ac:dyDescent="0.35">
      <c r="A712" t="str">
        <f t="shared" si="100"/>
        <v>JUL</v>
      </c>
      <c r="B712" t="str">
        <f t="shared" si="108"/>
        <v>20</v>
      </c>
      <c r="C712" t="str">
        <f t="shared" si="109"/>
        <v>2020/21</v>
      </c>
      <c r="D712" t="str">
        <f t="shared" ref="D712:D731" si="111">"SS SL 114855"</f>
        <v>SS SL 114855</v>
      </c>
      <c r="E712" t="str">
        <f t="shared" si="110"/>
        <v>SS</v>
      </c>
      <c r="F712" t="s">
        <v>25</v>
      </c>
      <c r="G712" t="s">
        <v>22</v>
      </c>
      <c r="H712">
        <v>-0.01</v>
      </c>
      <c r="I712" t="str">
        <f t="shared" ref="I712:I731" si="112">"The Mayfield Trust"</f>
        <v>The Mayfield Trust</v>
      </c>
      <c r="J712" t="str">
        <f t="shared" ref="J712:J731" si="113"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713" spans="1:10" x14ac:dyDescent="0.35">
      <c r="A713" t="str">
        <f t="shared" si="100"/>
        <v>JUL</v>
      </c>
      <c r="B713" t="str">
        <f t="shared" si="108"/>
        <v>20</v>
      </c>
      <c r="C713" t="str">
        <f t="shared" si="109"/>
        <v>2020/21</v>
      </c>
      <c r="D713" t="str">
        <f t="shared" si="111"/>
        <v>SS SL 114855</v>
      </c>
      <c r="E713" t="str">
        <f t="shared" si="110"/>
        <v>SS</v>
      </c>
      <c r="F713" t="s">
        <v>25</v>
      </c>
      <c r="G713" t="s">
        <v>22</v>
      </c>
      <c r="H713">
        <v>1684.9</v>
      </c>
      <c r="I713" t="str">
        <f t="shared" si="112"/>
        <v>The Mayfield Trust</v>
      </c>
      <c r="J713" t="str">
        <f t="shared" si="113"/>
        <v>Mayfield Mews (Mayfield) Private Contractors Agency And Contracted Services Supported Living Adult Health &amp; Social Care</v>
      </c>
    </row>
    <row r="714" spans="1:10" x14ac:dyDescent="0.35">
      <c r="A714" t="str">
        <f t="shared" si="100"/>
        <v>JUL</v>
      </c>
      <c r="B714" t="str">
        <f t="shared" si="108"/>
        <v>20</v>
      </c>
      <c r="C714" t="str">
        <f t="shared" si="109"/>
        <v>2020/21</v>
      </c>
      <c r="D714" t="str">
        <f t="shared" si="111"/>
        <v>SS SL 114855</v>
      </c>
      <c r="E714" t="str">
        <f t="shared" si="110"/>
        <v>SS</v>
      </c>
      <c r="F714" t="s">
        <v>25</v>
      </c>
      <c r="G714" t="s">
        <v>22</v>
      </c>
      <c r="H714">
        <v>1303.1600000000001</v>
      </c>
      <c r="I714" t="str">
        <f t="shared" si="112"/>
        <v>The Mayfield Trust</v>
      </c>
      <c r="J714" t="str">
        <f t="shared" si="113"/>
        <v>Mayfield Mews (Mayfield) Private Contractors Agency And Contracted Services Supported Living Adult Health &amp; Social Care</v>
      </c>
    </row>
    <row r="715" spans="1:10" x14ac:dyDescent="0.35">
      <c r="A715" t="str">
        <f t="shared" si="100"/>
        <v>JUL</v>
      </c>
      <c r="B715" t="str">
        <f t="shared" si="108"/>
        <v>20</v>
      </c>
      <c r="C715" t="str">
        <f t="shared" si="109"/>
        <v>2020/21</v>
      </c>
      <c r="D715" t="str">
        <f t="shared" si="111"/>
        <v>SS SL 114855</v>
      </c>
      <c r="E715" t="str">
        <f t="shared" si="110"/>
        <v>SS</v>
      </c>
      <c r="F715" t="s">
        <v>25</v>
      </c>
      <c r="G715" t="s">
        <v>22</v>
      </c>
      <c r="H715">
        <v>2324</v>
      </c>
      <c r="I715" t="str">
        <f t="shared" si="112"/>
        <v>The Mayfield Trust</v>
      </c>
      <c r="J715" t="str">
        <f t="shared" si="113"/>
        <v>Mayfield Mews (Mayfield) Private Contractors Agency And Contracted Services Supported Living Adult Health &amp; Social Care</v>
      </c>
    </row>
    <row r="716" spans="1:10" x14ac:dyDescent="0.35">
      <c r="A716" t="str">
        <f t="shared" si="100"/>
        <v>JUL</v>
      </c>
      <c r="B716" t="str">
        <f t="shared" si="108"/>
        <v>20</v>
      </c>
      <c r="C716" t="str">
        <f t="shared" si="109"/>
        <v>2020/21</v>
      </c>
      <c r="D716" t="str">
        <f t="shared" si="111"/>
        <v>SS SL 114855</v>
      </c>
      <c r="E716" t="str">
        <f t="shared" si="110"/>
        <v>SS</v>
      </c>
      <c r="F716" t="s">
        <v>25</v>
      </c>
      <c r="G716" t="s">
        <v>22</v>
      </c>
      <c r="H716">
        <v>1452.5</v>
      </c>
      <c r="I716" t="str">
        <f t="shared" si="112"/>
        <v>The Mayfield Trust</v>
      </c>
      <c r="J716" t="str">
        <f t="shared" si="113"/>
        <v>Mayfield Mews (Mayfield) Private Contractors Agency And Contracted Services Supported Living Adult Health &amp; Social Care</v>
      </c>
    </row>
    <row r="717" spans="1:10" x14ac:dyDescent="0.35">
      <c r="A717" t="str">
        <f t="shared" si="100"/>
        <v>JUL</v>
      </c>
      <c r="B717" t="str">
        <f t="shared" si="108"/>
        <v>20</v>
      </c>
      <c r="C717" t="str">
        <f t="shared" si="109"/>
        <v>2020/21</v>
      </c>
      <c r="D717" t="str">
        <f t="shared" si="111"/>
        <v>SS SL 114855</v>
      </c>
      <c r="E717" t="str">
        <f t="shared" si="110"/>
        <v>SS</v>
      </c>
      <c r="F717" t="s">
        <v>25</v>
      </c>
      <c r="G717" t="s">
        <v>22</v>
      </c>
      <c r="H717">
        <v>1452.5</v>
      </c>
      <c r="I717" t="str">
        <f t="shared" si="112"/>
        <v>The Mayfield Trust</v>
      </c>
      <c r="J717" t="str">
        <f t="shared" si="113"/>
        <v>Mayfield Mews (Mayfield) Private Contractors Agency And Contracted Services Supported Living Adult Health &amp; Social Care</v>
      </c>
    </row>
    <row r="718" spans="1:10" x14ac:dyDescent="0.35">
      <c r="A718" t="str">
        <f t="shared" si="100"/>
        <v>JUL</v>
      </c>
      <c r="B718" t="str">
        <f t="shared" si="108"/>
        <v>20</v>
      </c>
      <c r="C718" t="str">
        <f t="shared" si="109"/>
        <v>2020/21</v>
      </c>
      <c r="D718" t="str">
        <f t="shared" si="111"/>
        <v>SS SL 114855</v>
      </c>
      <c r="E718" t="str">
        <f t="shared" si="110"/>
        <v>SS</v>
      </c>
      <c r="F718" t="s">
        <v>25</v>
      </c>
      <c r="G718" t="s">
        <v>22</v>
      </c>
      <c r="H718">
        <v>1452.5</v>
      </c>
      <c r="I718" t="str">
        <f t="shared" si="112"/>
        <v>The Mayfield Trust</v>
      </c>
      <c r="J718" t="str">
        <f t="shared" si="113"/>
        <v>Mayfield Mews (Mayfield) Private Contractors Agency And Contracted Services Supported Living Adult Health &amp; Social Care</v>
      </c>
    </row>
    <row r="719" spans="1:10" x14ac:dyDescent="0.35">
      <c r="A719" t="str">
        <f t="shared" si="100"/>
        <v>JUL</v>
      </c>
      <c r="B719" t="str">
        <f t="shared" si="108"/>
        <v>20</v>
      </c>
      <c r="C719" t="str">
        <f t="shared" si="109"/>
        <v>2020/21</v>
      </c>
      <c r="D719" t="str">
        <f t="shared" si="111"/>
        <v>SS SL 114855</v>
      </c>
      <c r="E719" t="str">
        <f t="shared" si="110"/>
        <v>SS</v>
      </c>
      <c r="F719" t="s">
        <v>25</v>
      </c>
      <c r="G719" t="s">
        <v>22</v>
      </c>
      <c r="H719">
        <v>1452.5</v>
      </c>
      <c r="I719" t="str">
        <f t="shared" si="112"/>
        <v>The Mayfield Trust</v>
      </c>
      <c r="J719" t="str">
        <f t="shared" si="113"/>
        <v>Mayfield Mews (Mayfield) Private Contractors Agency And Contracted Services Supported Living Adult Health &amp; Social Care</v>
      </c>
    </row>
    <row r="720" spans="1:10" x14ac:dyDescent="0.35">
      <c r="A720" t="str">
        <f t="shared" si="100"/>
        <v>JUL</v>
      </c>
      <c r="B720" t="str">
        <f t="shared" si="108"/>
        <v>20</v>
      </c>
      <c r="C720" t="str">
        <f t="shared" si="109"/>
        <v>2020/21</v>
      </c>
      <c r="D720" t="str">
        <f t="shared" si="111"/>
        <v>SS SL 114855</v>
      </c>
      <c r="E720" t="str">
        <f t="shared" si="110"/>
        <v>SS</v>
      </c>
      <c r="F720" t="s">
        <v>25</v>
      </c>
      <c r="G720" t="s">
        <v>22</v>
      </c>
      <c r="H720">
        <v>1142.4000000000001</v>
      </c>
      <c r="I720" t="str">
        <f t="shared" si="112"/>
        <v>The Mayfield Trust</v>
      </c>
      <c r="J720" t="str">
        <f t="shared" si="113"/>
        <v>Mayfield Mews (Mayfield) Private Contractors Agency And Contracted Services Supported Living Adult Health &amp; Social Care</v>
      </c>
    </row>
    <row r="721" spans="1:10" x14ac:dyDescent="0.35">
      <c r="A721" t="str">
        <f t="shared" si="100"/>
        <v>JUL</v>
      </c>
      <c r="B721" t="str">
        <f t="shared" si="108"/>
        <v>20</v>
      </c>
      <c r="C721" t="str">
        <f t="shared" si="109"/>
        <v>2020/21</v>
      </c>
      <c r="D721" t="str">
        <f t="shared" si="111"/>
        <v>SS SL 114855</v>
      </c>
      <c r="E721" t="str">
        <f t="shared" si="110"/>
        <v>SS</v>
      </c>
      <c r="F721" t="s">
        <v>25</v>
      </c>
      <c r="G721" t="s">
        <v>22</v>
      </c>
      <c r="H721">
        <v>1303.17</v>
      </c>
      <c r="I721" t="str">
        <f t="shared" si="112"/>
        <v>The Mayfield Trust</v>
      </c>
      <c r="J721" t="str">
        <f t="shared" si="113"/>
        <v>Mayfield Mews (Mayfield) Private Contractors Agency And Contracted Services Supported Living Adult Health &amp; Social Care</v>
      </c>
    </row>
    <row r="722" spans="1:10" x14ac:dyDescent="0.35">
      <c r="A722" t="str">
        <f t="shared" si="100"/>
        <v>JUL</v>
      </c>
      <c r="B722" t="str">
        <f t="shared" si="108"/>
        <v>20</v>
      </c>
      <c r="C722" t="str">
        <f t="shared" si="109"/>
        <v>2020/21</v>
      </c>
      <c r="D722" t="str">
        <f t="shared" si="111"/>
        <v>SS SL 114855</v>
      </c>
      <c r="E722" t="str">
        <f t="shared" si="110"/>
        <v>SS</v>
      </c>
      <c r="F722" t="s">
        <v>25</v>
      </c>
      <c r="G722" t="s">
        <v>22</v>
      </c>
      <c r="H722">
        <v>2905</v>
      </c>
      <c r="I722" t="str">
        <f t="shared" si="112"/>
        <v>The Mayfield Trust</v>
      </c>
      <c r="J722" t="str">
        <f t="shared" si="113"/>
        <v>Mayfield Mews (Mayfield) Private Contractors Agency And Contracted Services Supported Living Adult Health &amp; Social Care</v>
      </c>
    </row>
    <row r="723" spans="1:10" x14ac:dyDescent="0.35">
      <c r="A723" t="str">
        <f t="shared" si="100"/>
        <v>JUL</v>
      </c>
      <c r="B723" t="str">
        <f t="shared" si="108"/>
        <v>20</v>
      </c>
      <c r="C723" t="str">
        <f t="shared" si="109"/>
        <v>2020/21</v>
      </c>
      <c r="D723" t="str">
        <f t="shared" si="111"/>
        <v>SS SL 114855</v>
      </c>
      <c r="E723" t="str">
        <f t="shared" si="110"/>
        <v>SS</v>
      </c>
      <c r="F723" t="s">
        <v>25</v>
      </c>
      <c r="G723" t="s">
        <v>22</v>
      </c>
      <c r="H723">
        <v>-0.04</v>
      </c>
      <c r="I723" t="str">
        <f t="shared" si="112"/>
        <v>The Mayfield Trust</v>
      </c>
      <c r="J723" t="str">
        <f t="shared" si="113"/>
        <v>Mayfield Mews (Mayfield) Private Contractors Agency And Contracted Services Supported Living Adult Health &amp; Social Care</v>
      </c>
    </row>
    <row r="724" spans="1:10" x14ac:dyDescent="0.35">
      <c r="A724" t="str">
        <f t="shared" si="100"/>
        <v>JUL</v>
      </c>
      <c r="B724" t="str">
        <f t="shared" si="108"/>
        <v>20</v>
      </c>
      <c r="C724" t="str">
        <f t="shared" si="109"/>
        <v>2020/21</v>
      </c>
      <c r="D724" t="str">
        <f t="shared" si="111"/>
        <v>SS SL 114855</v>
      </c>
      <c r="E724" t="str">
        <f t="shared" si="110"/>
        <v>SS</v>
      </c>
      <c r="F724" t="s">
        <v>25</v>
      </c>
      <c r="G724" t="s">
        <v>22</v>
      </c>
      <c r="H724">
        <v>3369.8</v>
      </c>
      <c r="I724" t="str">
        <f t="shared" si="112"/>
        <v>The Mayfield Trust</v>
      </c>
      <c r="J724" t="str">
        <f t="shared" si="113"/>
        <v>Mayfield Mews (Mayfield) Private Contractors Agency And Contracted Services Supported Living Adult Health &amp; Social Care</v>
      </c>
    </row>
    <row r="725" spans="1:10" x14ac:dyDescent="0.35">
      <c r="A725" t="str">
        <f t="shared" si="100"/>
        <v>JUL</v>
      </c>
      <c r="B725" t="str">
        <f t="shared" si="108"/>
        <v>20</v>
      </c>
      <c r="C725" t="str">
        <f t="shared" si="109"/>
        <v>2020/21</v>
      </c>
      <c r="D725" t="str">
        <f t="shared" si="111"/>
        <v>SS SL 114855</v>
      </c>
      <c r="E725" t="str">
        <f t="shared" si="110"/>
        <v>SS</v>
      </c>
      <c r="F725" t="s">
        <v>25</v>
      </c>
      <c r="G725" t="s">
        <v>22</v>
      </c>
      <c r="H725">
        <v>2284.8000000000002</v>
      </c>
      <c r="I725" t="str">
        <f t="shared" si="112"/>
        <v>The Mayfield Trust</v>
      </c>
      <c r="J725" t="str">
        <f t="shared" si="113"/>
        <v>Mayfield Mews (Mayfield) Private Contractors Agency And Contracted Services Supported Living Adult Health &amp; Social Care</v>
      </c>
    </row>
    <row r="726" spans="1:10" x14ac:dyDescent="0.35">
      <c r="A726" t="str">
        <f t="shared" si="100"/>
        <v>JUL</v>
      </c>
      <c r="B726" t="str">
        <f t="shared" si="108"/>
        <v>20</v>
      </c>
      <c r="C726" t="str">
        <f t="shared" si="109"/>
        <v>2020/21</v>
      </c>
      <c r="D726" t="str">
        <f t="shared" si="111"/>
        <v>SS SL 114855</v>
      </c>
      <c r="E726" t="str">
        <f t="shared" si="110"/>
        <v>SS</v>
      </c>
      <c r="F726" t="s">
        <v>25</v>
      </c>
      <c r="G726" t="s">
        <v>22</v>
      </c>
      <c r="H726">
        <v>4648</v>
      </c>
      <c r="I726" t="str">
        <f t="shared" si="112"/>
        <v>The Mayfield Trust</v>
      </c>
      <c r="J726" t="str">
        <f t="shared" si="113"/>
        <v>Mayfield Mews (Mayfield) Private Contractors Agency And Contracted Services Supported Living Adult Health &amp; Social Care</v>
      </c>
    </row>
    <row r="727" spans="1:10" x14ac:dyDescent="0.35">
      <c r="A727" t="str">
        <f t="shared" si="100"/>
        <v>JUL</v>
      </c>
      <c r="B727" t="str">
        <f t="shared" si="108"/>
        <v>20</v>
      </c>
      <c r="C727" t="str">
        <f t="shared" si="109"/>
        <v>2020/21</v>
      </c>
      <c r="D727" t="str">
        <f t="shared" si="111"/>
        <v>SS SL 114855</v>
      </c>
      <c r="E727" t="str">
        <f t="shared" si="110"/>
        <v>SS</v>
      </c>
      <c r="F727" t="s">
        <v>25</v>
      </c>
      <c r="G727" t="s">
        <v>22</v>
      </c>
      <c r="H727">
        <v>2905</v>
      </c>
      <c r="I727" t="str">
        <f t="shared" si="112"/>
        <v>The Mayfield Trust</v>
      </c>
      <c r="J727" t="str">
        <f t="shared" si="113"/>
        <v>Mayfield Mews (Mayfield) Private Contractors Agency And Contracted Services Supported Living Adult Health &amp; Social Care</v>
      </c>
    </row>
    <row r="728" spans="1:10" x14ac:dyDescent="0.35">
      <c r="A728" t="str">
        <f t="shared" ref="A728:A774" si="114">"JUL"</f>
        <v>JUL</v>
      </c>
      <c r="B728" t="str">
        <f t="shared" si="108"/>
        <v>20</v>
      </c>
      <c r="C728" t="str">
        <f t="shared" si="109"/>
        <v>2020/21</v>
      </c>
      <c r="D728" t="str">
        <f t="shared" si="111"/>
        <v>SS SL 114855</v>
      </c>
      <c r="E728" t="str">
        <f t="shared" si="110"/>
        <v>SS</v>
      </c>
      <c r="F728" t="s">
        <v>25</v>
      </c>
      <c r="G728" t="s">
        <v>22</v>
      </c>
      <c r="H728">
        <v>2606.3200000000002</v>
      </c>
      <c r="I728" t="str">
        <f t="shared" si="112"/>
        <v>The Mayfield Trust</v>
      </c>
      <c r="J728" t="str">
        <f t="shared" si="113"/>
        <v>Mayfield Mews (Mayfield) Private Contractors Agency And Contracted Services Supported Living Adult Health &amp; Social Care</v>
      </c>
    </row>
    <row r="729" spans="1:10" x14ac:dyDescent="0.35">
      <c r="A729" t="str">
        <f t="shared" si="114"/>
        <v>JUL</v>
      </c>
      <c r="B729" t="str">
        <f t="shared" si="108"/>
        <v>20</v>
      </c>
      <c r="C729" t="str">
        <f t="shared" si="109"/>
        <v>2020/21</v>
      </c>
      <c r="D729" t="str">
        <f t="shared" si="111"/>
        <v>SS SL 114855</v>
      </c>
      <c r="E729" t="str">
        <f t="shared" si="110"/>
        <v>SS</v>
      </c>
      <c r="F729" t="s">
        <v>25</v>
      </c>
      <c r="G729" t="s">
        <v>22</v>
      </c>
      <c r="H729">
        <v>2905</v>
      </c>
      <c r="I729" t="str">
        <f t="shared" si="112"/>
        <v>The Mayfield Trust</v>
      </c>
      <c r="J729" t="str">
        <f t="shared" si="113"/>
        <v>Mayfield Mews (Mayfield) Private Contractors Agency And Contracted Services Supported Living Adult Health &amp; Social Care</v>
      </c>
    </row>
    <row r="730" spans="1:10" x14ac:dyDescent="0.35">
      <c r="A730" t="str">
        <f t="shared" si="114"/>
        <v>JUL</v>
      </c>
      <c r="B730" t="str">
        <f t="shared" si="108"/>
        <v>20</v>
      </c>
      <c r="C730" t="str">
        <f t="shared" si="109"/>
        <v>2020/21</v>
      </c>
      <c r="D730" t="str">
        <f t="shared" si="111"/>
        <v>SS SL 114855</v>
      </c>
      <c r="E730" t="str">
        <f t="shared" si="110"/>
        <v>SS</v>
      </c>
      <c r="F730" t="s">
        <v>25</v>
      </c>
      <c r="G730" t="s">
        <v>22</v>
      </c>
      <c r="H730">
        <v>2606.34</v>
      </c>
      <c r="I730" t="str">
        <f t="shared" si="112"/>
        <v>The Mayfield Trust</v>
      </c>
      <c r="J730" t="str">
        <f t="shared" si="113"/>
        <v>Mayfield Mews (Mayfield) Private Contractors Agency And Contracted Services Supported Living Adult Health &amp; Social Care</v>
      </c>
    </row>
    <row r="731" spans="1:10" x14ac:dyDescent="0.35">
      <c r="A731" t="str">
        <f t="shared" si="114"/>
        <v>JUL</v>
      </c>
      <c r="B731" t="str">
        <f t="shared" si="108"/>
        <v>20</v>
      </c>
      <c r="C731" t="str">
        <f t="shared" si="109"/>
        <v>2020/21</v>
      </c>
      <c r="D731" t="str">
        <f t="shared" si="111"/>
        <v>SS SL 114855</v>
      </c>
      <c r="E731" t="str">
        <f t="shared" si="110"/>
        <v>SS</v>
      </c>
      <c r="F731" t="s">
        <v>25</v>
      </c>
      <c r="G731" t="s">
        <v>22</v>
      </c>
      <c r="H731">
        <v>2905</v>
      </c>
      <c r="I731" t="str">
        <f t="shared" si="112"/>
        <v>The Mayfield Trust</v>
      </c>
      <c r="J731" t="str">
        <f t="shared" si="113"/>
        <v>Mayfield Mews (Mayfield) Private Contractors Agency And Contracted Services Supported Living Adult Health &amp; Social Care</v>
      </c>
    </row>
    <row r="732" spans="1:10" x14ac:dyDescent="0.35">
      <c r="A732" t="str">
        <f t="shared" si="114"/>
        <v>JUL</v>
      </c>
      <c r="B732" t="str">
        <f t="shared" si="108"/>
        <v>20</v>
      </c>
      <c r="C732" t="str">
        <f t="shared" si="109"/>
        <v>2020/21</v>
      </c>
      <c r="D732" t="str">
        <f>"SS AD 114764"</f>
        <v>SS AD 114764</v>
      </c>
      <c r="E732" t="str">
        <f t="shared" si="110"/>
        <v>SS</v>
      </c>
      <c r="F732" t="s">
        <v>25</v>
      </c>
      <c r="G732" t="s">
        <v>22</v>
      </c>
      <c r="H732">
        <v>407.87</v>
      </c>
      <c r="I732" t="str">
        <f>"Camphill Village Trust"</f>
        <v>Camphill Village Trust</v>
      </c>
      <c r="J732" t="str">
        <f>"COVID-19 Additional Payments Private Contractors Agency And Contracted Services Supported Living Adult Health &amp; Social Care"</f>
        <v>COVID-19 Additional Payments Private Contractors Agency And Contracted Services Supported Living Adult Health &amp; Social Care</v>
      </c>
    </row>
    <row r="733" spans="1:10" x14ac:dyDescent="0.35">
      <c r="A733" t="str">
        <f t="shared" si="114"/>
        <v>JUL</v>
      </c>
      <c r="B733" t="str">
        <f t="shared" si="108"/>
        <v>20</v>
      </c>
      <c r="C733" t="str">
        <f t="shared" si="109"/>
        <v>2020/21</v>
      </c>
      <c r="D733" t="str">
        <f>"SS AD 114758"</f>
        <v>SS AD 114758</v>
      </c>
      <c r="E733" t="str">
        <f t="shared" si="110"/>
        <v>SS</v>
      </c>
      <c r="F733" t="s">
        <v>25</v>
      </c>
      <c r="G733" t="s">
        <v>22</v>
      </c>
      <c r="H733">
        <v>749.29</v>
      </c>
      <c r="I733" t="str">
        <f>"Autism Plus Ltd"</f>
        <v>Autism Plus Ltd</v>
      </c>
      <c r="J733" t="str">
        <f>"COVID-19 Additional Payments Private Contractors Agency And Contracted Services Supported Living Adult Health &amp; Social Care"</f>
        <v>COVID-19 Additional Payments Private Contractors Agency And Contracted Services Supported Living Adult Health &amp; Social Care</v>
      </c>
    </row>
    <row r="734" spans="1:10" x14ac:dyDescent="0.35">
      <c r="A734" t="str">
        <f t="shared" si="114"/>
        <v>JUL</v>
      </c>
      <c r="B734" t="str">
        <f t="shared" si="108"/>
        <v>20</v>
      </c>
      <c r="C734" t="str">
        <f t="shared" si="109"/>
        <v>2020/21</v>
      </c>
      <c r="D734" t="str">
        <f>"SS CO 114195"</f>
        <v>SS CO 114195</v>
      </c>
      <c r="E734" t="str">
        <f t="shared" si="110"/>
        <v>SS</v>
      </c>
      <c r="F734" t="s">
        <v>25</v>
      </c>
      <c r="G734" t="s">
        <v>22</v>
      </c>
      <c r="H734">
        <v>2458.33</v>
      </c>
      <c r="I734" t="str">
        <f>"Our Place"</f>
        <v>Our Place</v>
      </c>
      <c r="J734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735" spans="1:10" x14ac:dyDescent="0.35">
      <c r="A735" t="str">
        <f t="shared" si="114"/>
        <v>JUL</v>
      </c>
      <c r="B735" t="str">
        <f t="shared" si="108"/>
        <v>20</v>
      </c>
      <c r="C735" t="str">
        <f t="shared" si="109"/>
        <v>2020/21</v>
      </c>
      <c r="E735" t="str">
        <f t="shared" si="110"/>
        <v/>
      </c>
      <c r="F735" t="s">
        <v>25</v>
      </c>
      <c r="G735" t="s">
        <v>22</v>
      </c>
      <c r="H735">
        <v>20698.48</v>
      </c>
      <c r="I735" t="str">
        <f>"Anchor Trust"</f>
        <v>Anchor Trust</v>
      </c>
      <c r="J735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736" spans="1:10" x14ac:dyDescent="0.35">
      <c r="A736" t="str">
        <f t="shared" si="114"/>
        <v>JUL</v>
      </c>
      <c r="B736" t="str">
        <f t="shared" si="108"/>
        <v>20</v>
      </c>
      <c r="C736" t="str">
        <f t="shared" si="109"/>
        <v>2020/21</v>
      </c>
      <c r="E736" t="str">
        <f t="shared" si="110"/>
        <v/>
      </c>
      <c r="F736" t="s">
        <v>25</v>
      </c>
      <c r="G736" t="s">
        <v>22</v>
      </c>
      <c r="H736">
        <v>10397.08</v>
      </c>
      <c r="I736" t="str">
        <f>"Anchor Trust"</f>
        <v>Anchor Trust</v>
      </c>
      <c r="J736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737" spans="1:10" x14ac:dyDescent="0.35">
      <c r="A737" t="str">
        <f t="shared" si="114"/>
        <v>JUL</v>
      </c>
      <c r="B737" t="str">
        <f t="shared" si="108"/>
        <v>20</v>
      </c>
      <c r="C737" t="str">
        <f t="shared" si="109"/>
        <v>2020/21</v>
      </c>
      <c r="E737" t="str">
        <f t="shared" si="110"/>
        <v/>
      </c>
      <c r="F737" t="s">
        <v>25</v>
      </c>
      <c r="G737" t="s">
        <v>22</v>
      </c>
      <c r="H737">
        <v>-4255.72</v>
      </c>
      <c r="I737" t="str">
        <f>"Anchor Trust"</f>
        <v>Anchor Trust</v>
      </c>
      <c r="J737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738" spans="1:10" x14ac:dyDescent="0.35">
      <c r="A738" t="str">
        <f t="shared" si="114"/>
        <v>JUL</v>
      </c>
      <c r="B738" t="str">
        <f t="shared" si="108"/>
        <v>20</v>
      </c>
      <c r="C738" t="str">
        <f t="shared" si="109"/>
        <v>2020/21</v>
      </c>
      <c r="E738" t="str">
        <f t="shared" si="110"/>
        <v/>
      </c>
      <c r="F738" t="s">
        <v>25</v>
      </c>
      <c r="G738" t="s">
        <v>22</v>
      </c>
      <c r="H738">
        <v>-3545.76</v>
      </c>
      <c r="I738" t="str">
        <f>"Anchor Trust"</f>
        <v>Anchor Trust</v>
      </c>
      <c r="J738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739" spans="1:10" x14ac:dyDescent="0.35">
      <c r="A739" t="str">
        <f t="shared" si="114"/>
        <v>JUL</v>
      </c>
      <c r="B739" t="str">
        <f t="shared" si="108"/>
        <v>20</v>
      </c>
      <c r="C739" t="str">
        <f t="shared" si="109"/>
        <v>2020/21</v>
      </c>
      <c r="E739" t="str">
        <f t="shared" si="110"/>
        <v/>
      </c>
      <c r="F739" t="s">
        <v>25</v>
      </c>
      <c r="G739" t="s">
        <v>22</v>
      </c>
      <c r="H739">
        <v>21957.48</v>
      </c>
      <c r="I739" t="str">
        <f>"The Mayfield Trust"</f>
        <v>The Mayfield Trust</v>
      </c>
      <c r="J739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740" spans="1:10" x14ac:dyDescent="0.35">
      <c r="A740" t="str">
        <f t="shared" si="114"/>
        <v>JUL</v>
      </c>
      <c r="B740" t="str">
        <f t="shared" si="108"/>
        <v>20</v>
      </c>
      <c r="C740" t="str">
        <f t="shared" si="109"/>
        <v>2020/21</v>
      </c>
      <c r="E740" t="str">
        <f t="shared" si="110"/>
        <v/>
      </c>
      <c r="F740" t="s">
        <v>25</v>
      </c>
      <c r="G740" t="s">
        <v>22</v>
      </c>
      <c r="H740">
        <v>2554.12</v>
      </c>
      <c r="I740" t="str">
        <f>"Bridgewood Trust Ltd"</f>
        <v>Bridgewood Trust Ltd</v>
      </c>
      <c r="J740" t="str">
        <f t="shared" ref="J740:J745" si="115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741" spans="1:10" x14ac:dyDescent="0.35">
      <c r="A741" t="str">
        <f t="shared" si="114"/>
        <v>JUL</v>
      </c>
      <c r="B741" t="str">
        <f t="shared" si="108"/>
        <v>20</v>
      </c>
      <c r="C741" t="str">
        <f t="shared" si="109"/>
        <v>2020/21</v>
      </c>
      <c r="E741" t="str">
        <f t="shared" si="110"/>
        <v/>
      </c>
      <c r="F741" t="s">
        <v>25</v>
      </c>
      <c r="G741" t="s">
        <v>22</v>
      </c>
      <c r="H741">
        <v>13424.16</v>
      </c>
      <c r="I741" t="str">
        <f>"Bridgewood Trust Ltd"</f>
        <v>Bridgewood Trust Ltd</v>
      </c>
      <c r="J741" t="str">
        <f t="shared" si="115"/>
        <v>Residential Placements (Learning Disabilities)-Voluntary Home Voluntary Associations Agency And Contracted Services Residential &amp; Nursing Placem</v>
      </c>
    </row>
    <row r="742" spans="1:10" x14ac:dyDescent="0.35">
      <c r="A742" t="str">
        <f t="shared" si="114"/>
        <v>JUL</v>
      </c>
      <c r="B742" t="str">
        <f t="shared" si="108"/>
        <v>20</v>
      </c>
      <c r="C742" t="str">
        <f t="shared" si="109"/>
        <v>2020/21</v>
      </c>
      <c r="E742" t="str">
        <f t="shared" si="110"/>
        <v/>
      </c>
      <c r="F742" t="s">
        <v>25</v>
      </c>
      <c r="G742" t="s">
        <v>22</v>
      </c>
      <c r="H742">
        <v>1849.96</v>
      </c>
      <c r="I742" t="str">
        <f>"Bridgewood Trust Ltd"</f>
        <v>Bridgewood Trust Ltd</v>
      </c>
      <c r="J742" t="str">
        <f t="shared" si="115"/>
        <v>Residential Placements (Learning Disabilities)-Voluntary Home Voluntary Associations Agency And Contracted Services Residential &amp; Nursing Placem</v>
      </c>
    </row>
    <row r="743" spans="1:10" x14ac:dyDescent="0.35">
      <c r="A743" t="str">
        <f t="shared" si="114"/>
        <v>JUL</v>
      </c>
      <c r="B743" t="str">
        <f t="shared" si="108"/>
        <v>20</v>
      </c>
      <c r="C743" t="str">
        <f t="shared" si="109"/>
        <v>2020/21</v>
      </c>
      <c r="E743" t="str">
        <f t="shared" si="110"/>
        <v/>
      </c>
      <c r="F743" t="s">
        <v>25</v>
      </c>
      <c r="G743" t="s">
        <v>22</v>
      </c>
      <c r="H743">
        <v>2138.2399999999998</v>
      </c>
      <c r="I743" t="str">
        <f>"Bridgewood Trust Ltd"</f>
        <v>Bridgewood Trust Ltd</v>
      </c>
      <c r="J743" t="str">
        <f t="shared" si="115"/>
        <v>Residential Placements (Learning Disabilities)-Voluntary Home Voluntary Associations Agency And Contracted Services Residential &amp; Nursing Placem</v>
      </c>
    </row>
    <row r="744" spans="1:10" x14ac:dyDescent="0.35">
      <c r="A744" t="str">
        <f t="shared" si="114"/>
        <v>JUL</v>
      </c>
      <c r="B744" t="str">
        <f t="shared" si="108"/>
        <v>20</v>
      </c>
      <c r="C744" t="str">
        <f t="shared" si="109"/>
        <v>2020/21</v>
      </c>
      <c r="E744" t="str">
        <f t="shared" si="110"/>
        <v/>
      </c>
      <c r="F744" t="s">
        <v>25</v>
      </c>
      <c r="G744" t="s">
        <v>22</v>
      </c>
      <c r="H744">
        <v>27764.48</v>
      </c>
      <c r="I744" t="str">
        <f>"Bridgewood Trust Ltd"</f>
        <v>Bridgewood Trust Ltd</v>
      </c>
      <c r="J744" t="str">
        <f t="shared" si="115"/>
        <v>Residential Placements (Learning Disabilities)-Voluntary Home Voluntary Associations Agency And Contracted Services Residential &amp; Nursing Placem</v>
      </c>
    </row>
    <row r="745" spans="1:10" x14ac:dyDescent="0.35">
      <c r="A745" t="str">
        <f t="shared" si="114"/>
        <v>JUL</v>
      </c>
      <c r="B745" t="str">
        <f t="shared" si="108"/>
        <v>20</v>
      </c>
      <c r="C745" t="str">
        <f t="shared" si="109"/>
        <v>2020/21</v>
      </c>
      <c r="E745" t="str">
        <f t="shared" si="110"/>
        <v/>
      </c>
      <c r="F745" t="s">
        <v>25</v>
      </c>
      <c r="G745" t="s">
        <v>22</v>
      </c>
      <c r="H745">
        <v>6882.04</v>
      </c>
      <c r="I745" t="str">
        <f>"The Mayfield Trust"</f>
        <v>The Mayfield Trust</v>
      </c>
      <c r="J745" t="str">
        <f t="shared" si="115"/>
        <v>Residential Placements (Learning Disabilities)-Voluntary Home Voluntary Associations Agency And Contracted Services Residential &amp; Nursing Placem</v>
      </c>
    </row>
    <row r="746" spans="1:10" x14ac:dyDescent="0.35">
      <c r="A746" t="str">
        <f t="shared" si="114"/>
        <v>JUL</v>
      </c>
      <c r="B746" t="str">
        <f t="shared" si="108"/>
        <v>20</v>
      </c>
      <c r="C746" t="str">
        <f t="shared" si="109"/>
        <v>2020/21</v>
      </c>
      <c r="D746" t="str">
        <f>"SS AD 114759"</f>
        <v>SS AD 114759</v>
      </c>
      <c r="E746" t="str">
        <f t="shared" si="110"/>
        <v>SS</v>
      </c>
      <c r="F746" t="s">
        <v>25</v>
      </c>
      <c r="G746" t="s">
        <v>22</v>
      </c>
      <c r="H746">
        <v>383.12</v>
      </c>
      <c r="I746" t="str">
        <f>"Bridgewood Trust Ltd"</f>
        <v>Bridgewood Trust Ltd</v>
      </c>
      <c r="J746" t="str">
        <f>"COVID 19 Additional Care Home Payments Private Contractors Agency And Contracted Services Residential &amp; Nursing Placements (Learning Dis) Adult"</f>
        <v>COVID 19 Additional Care Home Payments Private Contractors Agency And Contracted Services Residential &amp; Nursing Placements (Learning Dis) Adult</v>
      </c>
    </row>
    <row r="747" spans="1:10" x14ac:dyDescent="0.35">
      <c r="A747" t="str">
        <f t="shared" si="114"/>
        <v>JUL</v>
      </c>
      <c r="B747" t="str">
        <f t="shared" si="108"/>
        <v>20</v>
      </c>
      <c r="C747" t="str">
        <f t="shared" si="109"/>
        <v>2020/21</v>
      </c>
      <c r="D747" t="str">
        <f>"SS AD 114760"</f>
        <v>SS AD 114760</v>
      </c>
      <c r="E747" t="str">
        <f t="shared" si="110"/>
        <v>SS</v>
      </c>
      <c r="F747" t="s">
        <v>25</v>
      </c>
      <c r="G747" t="s">
        <v>22</v>
      </c>
      <c r="H747">
        <v>277.49</v>
      </c>
      <c r="I747" t="str">
        <f>"Bridgewood Trust Ltd"</f>
        <v>Bridgewood Trust Ltd</v>
      </c>
      <c r="J747" t="str">
        <f>"COVID 19 Additional Care Home Payments Private Contractors Agency And Contracted Services Residential &amp; Nursing Placements (Learning Dis) Adult"</f>
        <v>COVID 19 Additional Care Home Payments Private Contractors Agency And Contracted Services Residential &amp; Nursing Placements (Learning Dis) Adult</v>
      </c>
    </row>
    <row r="748" spans="1:10" x14ac:dyDescent="0.35">
      <c r="A748" t="str">
        <f t="shared" si="114"/>
        <v>JUL</v>
      </c>
      <c r="B748" t="str">
        <f t="shared" si="108"/>
        <v>20</v>
      </c>
      <c r="C748" t="str">
        <f t="shared" si="109"/>
        <v>2020/21</v>
      </c>
      <c r="E748" t="str">
        <f t="shared" si="110"/>
        <v/>
      </c>
      <c r="F748" t="s">
        <v>25</v>
      </c>
      <c r="G748" t="s">
        <v>22</v>
      </c>
      <c r="H748">
        <v>6529.68</v>
      </c>
      <c r="I748" t="str">
        <f>"Henshaws Society For Blind People re Red Admiral"</f>
        <v>Henshaws Society For Blind People re Red Admiral</v>
      </c>
      <c r="J748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749" spans="1:10" x14ac:dyDescent="0.35">
      <c r="A749" t="str">
        <f t="shared" si="114"/>
        <v>JUL</v>
      </c>
      <c r="B749" t="str">
        <f t="shared" si="108"/>
        <v>20</v>
      </c>
      <c r="C749" t="str">
        <f t="shared" si="109"/>
        <v>2020/21</v>
      </c>
      <c r="E749" t="str">
        <f t="shared" si="110"/>
        <v/>
      </c>
      <c r="F749" t="s">
        <v>25</v>
      </c>
      <c r="G749" t="s">
        <v>22</v>
      </c>
      <c r="H749">
        <v>-1269</v>
      </c>
      <c r="I749" t="str">
        <f>"The Mayfield Trust"</f>
        <v>The Mayfield Trust</v>
      </c>
      <c r="J749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750" spans="1:10" x14ac:dyDescent="0.35">
      <c r="A750" t="str">
        <f t="shared" si="114"/>
        <v>JUL</v>
      </c>
      <c r="B750" t="str">
        <f t="shared" si="108"/>
        <v>20</v>
      </c>
      <c r="C750" t="str">
        <f t="shared" si="109"/>
        <v>2020/21</v>
      </c>
      <c r="E750" t="str">
        <f t="shared" si="110"/>
        <v/>
      </c>
      <c r="F750" t="s">
        <v>25</v>
      </c>
      <c r="G750" t="s">
        <v>22</v>
      </c>
      <c r="H750">
        <v>-423</v>
      </c>
      <c r="I750" t="str">
        <f>"Bridgewood Trust Ltd"</f>
        <v>Bridgewood Trust Ltd</v>
      </c>
      <c r="J750" t="str">
        <f t="shared" ref="J750:J756" si="116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751" spans="1:10" x14ac:dyDescent="0.35">
      <c r="A751" t="str">
        <f t="shared" si="114"/>
        <v>JUL</v>
      </c>
      <c r="B751" t="str">
        <f t="shared" si="108"/>
        <v>20</v>
      </c>
      <c r="C751" t="str">
        <f t="shared" si="109"/>
        <v>2020/21</v>
      </c>
      <c r="E751" t="str">
        <f t="shared" si="110"/>
        <v/>
      </c>
      <c r="F751" t="s">
        <v>25</v>
      </c>
      <c r="G751" t="s">
        <v>22</v>
      </c>
      <c r="H751">
        <v>-1692</v>
      </c>
      <c r="I751" t="str">
        <f>"Bridgewood Trust Ltd"</f>
        <v>Bridgewood Trust Ltd</v>
      </c>
      <c r="J751" t="str">
        <f t="shared" si="116"/>
        <v>Residential - Income Residential Placements Customer And Client Receipts Income Residential &amp; Nursing Placements (Learning Dis) Adult Health &amp; S</v>
      </c>
    </row>
    <row r="752" spans="1:10" x14ac:dyDescent="0.35">
      <c r="A752" t="str">
        <f t="shared" si="114"/>
        <v>JUL</v>
      </c>
      <c r="B752" t="str">
        <f t="shared" si="108"/>
        <v>20</v>
      </c>
      <c r="C752" t="str">
        <f t="shared" si="109"/>
        <v>2020/21</v>
      </c>
      <c r="E752" t="str">
        <f t="shared" si="110"/>
        <v/>
      </c>
      <c r="F752" t="s">
        <v>25</v>
      </c>
      <c r="G752" t="s">
        <v>22</v>
      </c>
      <c r="H752">
        <v>-595.4</v>
      </c>
      <c r="I752" t="str">
        <f>"Bridgewood Trust Ltd"</f>
        <v>Bridgewood Trust Ltd</v>
      </c>
      <c r="J752" t="str">
        <f t="shared" si="116"/>
        <v>Residential - Income Residential Placements Customer And Client Receipts Income Residential &amp; Nursing Placements (Learning Dis) Adult Health &amp; S</v>
      </c>
    </row>
    <row r="753" spans="1:10" x14ac:dyDescent="0.35">
      <c r="A753" t="str">
        <f t="shared" si="114"/>
        <v>JUL</v>
      </c>
      <c r="B753" t="str">
        <f t="shared" si="108"/>
        <v>20</v>
      </c>
      <c r="C753" t="str">
        <f t="shared" si="109"/>
        <v>2020/21</v>
      </c>
      <c r="E753" t="str">
        <f t="shared" si="110"/>
        <v/>
      </c>
      <c r="F753" t="s">
        <v>25</v>
      </c>
      <c r="G753" t="s">
        <v>22</v>
      </c>
      <c r="H753">
        <v>-423</v>
      </c>
      <c r="I753" t="str">
        <f>"Bridgewood Trust Ltd"</f>
        <v>Bridgewood Trust Ltd</v>
      </c>
      <c r="J753" t="str">
        <f t="shared" si="116"/>
        <v>Residential - Income Residential Placements Customer And Client Receipts Income Residential &amp; Nursing Placements (Learning Dis) Adult Health &amp; S</v>
      </c>
    </row>
    <row r="754" spans="1:10" x14ac:dyDescent="0.35">
      <c r="A754" t="str">
        <f t="shared" si="114"/>
        <v>JUL</v>
      </c>
      <c r="B754" t="str">
        <f t="shared" si="108"/>
        <v>20</v>
      </c>
      <c r="C754" t="str">
        <f t="shared" si="109"/>
        <v>2020/21</v>
      </c>
      <c r="E754" t="str">
        <f t="shared" si="110"/>
        <v/>
      </c>
      <c r="F754" t="s">
        <v>25</v>
      </c>
      <c r="G754" t="s">
        <v>22</v>
      </c>
      <c r="H754">
        <v>-4483.72</v>
      </c>
      <c r="I754" t="str">
        <f>"Bridgewood Trust Ltd"</f>
        <v>Bridgewood Trust Ltd</v>
      </c>
      <c r="J754" t="str">
        <f t="shared" si="116"/>
        <v>Residential - Income Residential Placements Customer And Client Receipts Income Residential &amp; Nursing Placements (Learning Dis) Adult Health &amp; S</v>
      </c>
    </row>
    <row r="755" spans="1:10" x14ac:dyDescent="0.35">
      <c r="A755" t="str">
        <f t="shared" si="114"/>
        <v>JUL</v>
      </c>
      <c r="B755" t="str">
        <f t="shared" si="108"/>
        <v>20</v>
      </c>
      <c r="C755" t="str">
        <f t="shared" si="109"/>
        <v>2020/21</v>
      </c>
      <c r="E755" t="str">
        <f t="shared" si="110"/>
        <v/>
      </c>
      <c r="F755" t="s">
        <v>25</v>
      </c>
      <c r="G755" t="s">
        <v>22</v>
      </c>
      <c r="H755">
        <v>-423</v>
      </c>
      <c r="I755" t="str">
        <f>"The Mayfield Trust"</f>
        <v>The Mayfield Trust</v>
      </c>
      <c r="J755" t="str">
        <f t="shared" si="116"/>
        <v>Residential - Income Residential Placements Customer And Client Receipts Income Residential &amp; Nursing Placements (Learning Dis) Adult Health &amp; S</v>
      </c>
    </row>
    <row r="756" spans="1:10" x14ac:dyDescent="0.35">
      <c r="A756" t="str">
        <f t="shared" si="114"/>
        <v>JUL</v>
      </c>
      <c r="B756" t="str">
        <f t="shared" si="108"/>
        <v>20</v>
      </c>
      <c r="C756" t="str">
        <f t="shared" si="109"/>
        <v>2020/21</v>
      </c>
      <c r="E756" t="str">
        <f t="shared" si="110"/>
        <v/>
      </c>
      <c r="F756" t="s">
        <v>25</v>
      </c>
      <c r="G756" t="s">
        <v>22</v>
      </c>
      <c r="H756">
        <v>-423</v>
      </c>
      <c r="I756" t="str">
        <f>"Henshaws Society For Blind People re Red Admiral"</f>
        <v>Henshaws Society For Blind People re Red Admiral</v>
      </c>
      <c r="J756" t="str">
        <f t="shared" si="116"/>
        <v>Residential - Income Residential Placements Customer And Client Receipts Income Residential &amp; Nursing Placements (Learning Dis) Adult Health &amp; S</v>
      </c>
    </row>
    <row r="757" spans="1:10" x14ac:dyDescent="0.35">
      <c r="A757" t="str">
        <f t="shared" si="114"/>
        <v>JUL</v>
      </c>
      <c r="B757" t="str">
        <f t="shared" si="108"/>
        <v>20</v>
      </c>
      <c r="C757" t="str">
        <f t="shared" si="109"/>
        <v>2020/21</v>
      </c>
      <c r="D757" t="str">
        <f>"SS SL 114855"</f>
        <v>SS SL 114855</v>
      </c>
      <c r="E757" t="str">
        <f t="shared" si="110"/>
        <v>SS</v>
      </c>
      <c r="F757" t="s">
        <v>25</v>
      </c>
      <c r="G757" t="s">
        <v>22</v>
      </c>
      <c r="H757">
        <v>1319.7</v>
      </c>
      <c r="I757" t="str">
        <f>"The Mayfield Trust"</f>
        <v>The Mayfield Trust</v>
      </c>
      <c r="J757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758" spans="1:10" x14ac:dyDescent="0.35">
      <c r="A758" t="str">
        <f t="shared" si="114"/>
        <v>JUL</v>
      </c>
      <c r="B758" t="str">
        <f t="shared" si="108"/>
        <v>20</v>
      </c>
      <c r="C758" t="str">
        <f t="shared" si="109"/>
        <v>2020/21</v>
      </c>
      <c r="D758" t="str">
        <f>"SS SL 114855"</f>
        <v>SS SL 114855</v>
      </c>
      <c r="E758" t="str">
        <f t="shared" si="110"/>
        <v>SS</v>
      </c>
      <c r="F758" t="s">
        <v>25</v>
      </c>
      <c r="G758" t="s">
        <v>22</v>
      </c>
      <c r="H758">
        <v>2639.4</v>
      </c>
      <c r="I758" t="str">
        <f>"The Mayfield Trust"</f>
        <v>The Mayfield Trust</v>
      </c>
      <c r="J758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759" spans="1:10" x14ac:dyDescent="0.35">
      <c r="A759" t="str">
        <f t="shared" si="114"/>
        <v>JUL</v>
      </c>
      <c r="B759" t="str">
        <f t="shared" si="108"/>
        <v>20</v>
      </c>
      <c r="C759" t="str">
        <f t="shared" si="109"/>
        <v>2020/21</v>
      </c>
      <c r="D759" t="str">
        <f>"SS CO 113260"</f>
        <v>SS CO 113260</v>
      </c>
      <c r="E759" t="str">
        <f t="shared" si="110"/>
        <v>SS</v>
      </c>
      <c r="F759" t="s">
        <v>25</v>
      </c>
      <c r="G759" t="s">
        <v>22</v>
      </c>
      <c r="H759">
        <v>15922.58</v>
      </c>
      <c r="I759" t="str">
        <f>"Alzheimers Society"</f>
        <v>Alzheimers Society</v>
      </c>
      <c r="J759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760" spans="1:10" x14ac:dyDescent="0.35">
      <c r="A760" t="str">
        <f t="shared" si="114"/>
        <v>JUL</v>
      </c>
      <c r="B760" t="str">
        <f t="shared" si="108"/>
        <v>20</v>
      </c>
      <c r="C760" t="str">
        <f t="shared" si="109"/>
        <v>2020/21</v>
      </c>
      <c r="D760" t="str">
        <f>"SS CO 113850"</f>
        <v>SS CO 113850</v>
      </c>
      <c r="E760" t="str">
        <f t="shared" si="110"/>
        <v>SS</v>
      </c>
      <c r="F760" t="s">
        <v>25</v>
      </c>
      <c r="G760" t="s">
        <v>22</v>
      </c>
      <c r="H760">
        <v>18016.669999999998</v>
      </c>
      <c r="I760" t="str">
        <f>"Cloverleaf Advocacy 2000 Ltd"</f>
        <v>Cloverleaf Advocacy 2000 Ltd</v>
      </c>
      <c r="J760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761" spans="1:10" x14ac:dyDescent="0.35">
      <c r="A761" t="str">
        <f t="shared" si="114"/>
        <v>JUL</v>
      </c>
      <c r="B761" t="str">
        <f t="shared" si="108"/>
        <v>20</v>
      </c>
      <c r="C761" t="str">
        <f t="shared" si="109"/>
        <v>2020/21</v>
      </c>
      <c r="D761" t="str">
        <f>"SS CO 113368"</f>
        <v>SS CO 113368</v>
      </c>
      <c r="E761" t="str">
        <f t="shared" si="110"/>
        <v>SS</v>
      </c>
      <c r="F761" t="s">
        <v>25</v>
      </c>
      <c r="G761" t="s">
        <v>22</v>
      </c>
      <c r="H761">
        <v>5319.35</v>
      </c>
      <c r="I761" t="str">
        <f>"Anchor Trust"</f>
        <v>Anchor Trust</v>
      </c>
      <c r="J761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762" spans="1:10" x14ac:dyDescent="0.35">
      <c r="A762" t="str">
        <f t="shared" si="114"/>
        <v>JUL</v>
      </c>
      <c r="B762" t="str">
        <f t="shared" si="108"/>
        <v>20</v>
      </c>
      <c r="C762" t="str">
        <f t="shared" si="109"/>
        <v>2020/21</v>
      </c>
      <c r="D762" t="str">
        <f>"SS CO 113368"</f>
        <v>SS CO 113368</v>
      </c>
      <c r="E762" t="str">
        <f t="shared" si="110"/>
        <v>SS</v>
      </c>
      <c r="F762" t="s">
        <v>25</v>
      </c>
      <c r="G762" t="s">
        <v>22</v>
      </c>
      <c r="H762">
        <v>234.68</v>
      </c>
      <c r="I762" t="str">
        <f>"Anchor Trust"</f>
        <v>Anchor Trust</v>
      </c>
      <c r="J762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763" spans="1:10" x14ac:dyDescent="0.35">
      <c r="A763" t="str">
        <f t="shared" si="114"/>
        <v>JUL</v>
      </c>
      <c r="B763" t="str">
        <f t="shared" si="108"/>
        <v>20</v>
      </c>
      <c r="C763" t="str">
        <f t="shared" si="109"/>
        <v>2020/21</v>
      </c>
      <c r="D763" t="str">
        <f>"SS CO 113368"</f>
        <v>SS CO 113368</v>
      </c>
      <c r="E763" t="str">
        <f t="shared" si="110"/>
        <v>SS</v>
      </c>
      <c r="F763" t="s">
        <v>25</v>
      </c>
      <c r="G763" t="s">
        <v>22</v>
      </c>
      <c r="H763">
        <v>2346.77</v>
      </c>
      <c r="I763" t="str">
        <f>"Anchor Trust"</f>
        <v>Anchor Trust</v>
      </c>
      <c r="J763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764" spans="1:10" x14ac:dyDescent="0.35">
      <c r="A764" t="str">
        <f t="shared" si="114"/>
        <v>JUL</v>
      </c>
      <c r="B764" t="str">
        <f t="shared" si="108"/>
        <v>20</v>
      </c>
      <c r="C764" t="str">
        <f t="shared" si="109"/>
        <v>2020/21</v>
      </c>
      <c r="D764" t="str">
        <f>"SS CO 113363"</f>
        <v>SS CO 113363</v>
      </c>
      <c r="E764" t="str">
        <f t="shared" si="110"/>
        <v>SS</v>
      </c>
      <c r="F764" t="s">
        <v>25</v>
      </c>
      <c r="G764" t="s">
        <v>22</v>
      </c>
      <c r="H764">
        <v>12925.85</v>
      </c>
      <c r="I764" t="str">
        <f t="shared" ref="I764:I769" si="117">"Age Uk Calderdale &amp; Kirklees"</f>
        <v>Age Uk Calderdale &amp; Kirklees</v>
      </c>
      <c r="J764" t="str">
        <f>"Age Concern Core Grant Transfer Payments - School Children And Students Transfer Payments Older People Commissioning Budget Adult Health &amp; Socia"</f>
        <v>Age Concern Core Grant Transfer Payments - School Children And Students Transfer Payments Older People Commissioning Budget Adult Health &amp; Socia</v>
      </c>
    </row>
    <row r="765" spans="1:10" x14ac:dyDescent="0.35">
      <c r="A765" t="str">
        <f t="shared" si="114"/>
        <v>JUL</v>
      </c>
      <c r="B765" t="str">
        <f t="shared" si="108"/>
        <v>20</v>
      </c>
      <c r="C765" t="str">
        <f t="shared" si="109"/>
        <v>2020/21</v>
      </c>
      <c r="D765" t="str">
        <f>"SS CO 113363"</f>
        <v>SS CO 113363</v>
      </c>
      <c r="E765" t="str">
        <f t="shared" si="110"/>
        <v>SS</v>
      </c>
      <c r="F765" t="s">
        <v>25</v>
      </c>
      <c r="G765" t="s">
        <v>22</v>
      </c>
      <c r="H765">
        <v>3244.85</v>
      </c>
      <c r="I765" t="str">
        <f t="shared" si="117"/>
        <v>Age Uk Calderdale &amp; Kirklees</v>
      </c>
      <c r="J765" t="str">
        <f>"Active Befriending Scheme Transfer Payments - School Children And Students Transfer Payments Older People Commissioning Budget Adult Health &amp; So"</f>
        <v>Active Befriending Scheme Transfer Payments - School Children And Students Transfer Payments Older People Commissioning Budget Adult Health &amp; So</v>
      </c>
    </row>
    <row r="766" spans="1:10" x14ac:dyDescent="0.35">
      <c r="A766" t="str">
        <f t="shared" si="114"/>
        <v>JUL</v>
      </c>
      <c r="B766" t="str">
        <f t="shared" si="108"/>
        <v>20</v>
      </c>
      <c r="C766" t="str">
        <f t="shared" si="109"/>
        <v>2020/21</v>
      </c>
      <c r="D766" t="str">
        <f>"SS CO 113363"</f>
        <v>SS CO 113363</v>
      </c>
      <c r="E766" t="str">
        <f t="shared" si="110"/>
        <v>SS</v>
      </c>
      <c r="F766" t="s">
        <v>25</v>
      </c>
      <c r="G766" t="s">
        <v>22</v>
      </c>
      <c r="H766">
        <v>3244.85</v>
      </c>
      <c r="I766" t="str">
        <f t="shared" si="117"/>
        <v>Age Uk Calderdale &amp; Kirklees</v>
      </c>
      <c r="J766" t="str">
        <f>"Active Befriending Scheme Transfer Payments - School Children And Students Transfer Payments Older People Commissioning Budget Adult Health &amp; So"</f>
        <v>Active Befriending Scheme Transfer Payments - School Children And Students Transfer Payments Older People Commissioning Budget Adult Health &amp; So</v>
      </c>
    </row>
    <row r="767" spans="1:10" x14ac:dyDescent="0.35">
      <c r="A767" t="str">
        <f t="shared" si="114"/>
        <v>JUL</v>
      </c>
      <c r="B767" t="str">
        <f t="shared" si="108"/>
        <v>20</v>
      </c>
      <c r="C767" t="str">
        <f t="shared" si="109"/>
        <v>2020/21</v>
      </c>
      <c r="D767" t="str">
        <f>"SS CO 113363"</f>
        <v>SS CO 113363</v>
      </c>
      <c r="E767" t="str">
        <f t="shared" si="110"/>
        <v>SS</v>
      </c>
      <c r="F767" t="s">
        <v>25</v>
      </c>
      <c r="G767" t="s">
        <v>22</v>
      </c>
      <c r="H767">
        <v>6250</v>
      </c>
      <c r="I767" t="str">
        <f t="shared" si="117"/>
        <v>Age Uk Calderdale &amp; Kirklees</v>
      </c>
      <c r="J767" t="str">
        <f>"Shop Mobility grant Transfer Payments - Social Services Clients Transfer Payments Older People Commissioning Budget Adult Health &amp; Social Care"</f>
        <v>Shop Mobility grant Transfer Payments - Social Services Clients Transfer Payments Older People Commissioning Budget Adult Health &amp; Social Care</v>
      </c>
    </row>
    <row r="768" spans="1:10" x14ac:dyDescent="0.35">
      <c r="A768" t="str">
        <f t="shared" si="114"/>
        <v>JUL</v>
      </c>
      <c r="B768" t="str">
        <f t="shared" si="108"/>
        <v>20</v>
      </c>
      <c r="C768" t="str">
        <f t="shared" si="109"/>
        <v>2020/21</v>
      </c>
      <c r="D768" t="str">
        <f>"SS FD 114113"</f>
        <v>SS FD 114113</v>
      </c>
      <c r="E768" t="str">
        <f t="shared" si="110"/>
        <v>SS</v>
      </c>
      <c r="F768" t="s">
        <v>25</v>
      </c>
      <c r="G768" t="s">
        <v>22</v>
      </c>
      <c r="H768">
        <v>106.6</v>
      </c>
      <c r="I768" t="str">
        <f t="shared" si="117"/>
        <v>Age Uk Calderdale &amp; Kirklees</v>
      </c>
      <c r="J768" t="s">
        <v>8</v>
      </c>
    </row>
    <row r="769" spans="1:10" x14ac:dyDescent="0.35">
      <c r="A769" t="str">
        <f t="shared" si="114"/>
        <v>JUL</v>
      </c>
      <c r="B769" t="str">
        <f t="shared" si="108"/>
        <v>20</v>
      </c>
      <c r="C769" t="str">
        <f t="shared" si="109"/>
        <v>2020/21</v>
      </c>
      <c r="D769" t="str">
        <f>"SS FD 114113"</f>
        <v>SS FD 114113</v>
      </c>
      <c r="E769" t="str">
        <f t="shared" si="110"/>
        <v>SS</v>
      </c>
      <c r="F769" t="s">
        <v>25</v>
      </c>
      <c r="G769" t="s">
        <v>22</v>
      </c>
      <c r="H769">
        <v>106.6</v>
      </c>
      <c r="I769" t="str">
        <f t="shared" si="117"/>
        <v>Age Uk Calderdale &amp; Kirklees</v>
      </c>
      <c r="J769" t="s">
        <v>8</v>
      </c>
    </row>
    <row r="770" spans="1:10" x14ac:dyDescent="0.35">
      <c r="A770" t="str">
        <f t="shared" si="114"/>
        <v>JUL</v>
      </c>
      <c r="B770" t="str">
        <f t="shared" ref="B770:B833" si="118">"20"</f>
        <v>20</v>
      </c>
      <c r="C770" t="str">
        <f t="shared" ref="C770:C833" si="119">"2020/21"</f>
        <v>2020/21</v>
      </c>
      <c r="D770" t="str">
        <f>"SS CO 113367"</f>
        <v>SS CO 113367</v>
      </c>
      <c r="E770" t="str">
        <f t="shared" ref="E770:E833" si="120">LEFT(D770,2)</f>
        <v>SS</v>
      </c>
      <c r="F770" t="s">
        <v>25</v>
      </c>
      <c r="G770" t="s">
        <v>22</v>
      </c>
      <c r="H770">
        <v>5708.2</v>
      </c>
      <c r="I770" t="str">
        <f>"Cloverleaf Advocacy 2000 Ltd"</f>
        <v>Cloverleaf Advocacy 2000 Ltd</v>
      </c>
      <c r="J770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771" spans="1:10" x14ac:dyDescent="0.35">
      <c r="A771" t="str">
        <f t="shared" si="114"/>
        <v>JUL</v>
      </c>
      <c r="B771" t="str">
        <f t="shared" si="118"/>
        <v>20</v>
      </c>
      <c r="C771" t="str">
        <f t="shared" si="119"/>
        <v>2020/21</v>
      </c>
      <c r="D771" t="str">
        <f>"SS CO 113851"</f>
        <v>SS CO 113851</v>
      </c>
      <c r="E771" t="str">
        <f t="shared" si="120"/>
        <v>SS</v>
      </c>
      <c r="F771" t="s">
        <v>25</v>
      </c>
      <c r="G771" t="s">
        <v>22</v>
      </c>
      <c r="H771">
        <v>17000</v>
      </c>
      <c r="I771" t="str">
        <f>"Cloverleaf Advocacy 2000 Ltd"</f>
        <v>Cloverleaf Advocacy 2000 Ltd</v>
      </c>
      <c r="J771" t="str">
        <f>"Self Advocacy for Adults (LD) Voluntary Associations Agency And Contracted Services LD Commissioning Budget Adult Health &amp; Social Care"</f>
        <v>Self Advocacy for Adults (LD) Voluntary Associations Agency And Contracted Services LD Commissioning Budget Adult Health &amp; Social Care</v>
      </c>
    </row>
    <row r="772" spans="1:10" x14ac:dyDescent="0.35">
      <c r="A772" t="str">
        <f t="shared" si="114"/>
        <v>JUL</v>
      </c>
      <c r="B772" t="str">
        <f t="shared" si="118"/>
        <v>20</v>
      </c>
      <c r="C772" t="str">
        <f t="shared" si="119"/>
        <v>2020/21</v>
      </c>
      <c r="D772" t="str">
        <f>"SS CO 112761"</f>
        <v>SS CO 112761</v>
      </c>
      <c r="E772" t="str">
        <f t="shared" si="120"/>
        <v>SS</v>
      </c>
      <c r="F772" t="s">
        <v>25</v>
      </c>
      <c r="G772" t="s">
        <v>22</v>
      </c>
      <c r="H772">
        <v>7402.25</v>
      </c>
      <c r="I772" t="str">
        <f>"The Stroke Association"</f>
        <v>The Stroke Association</v>
      </c>
      <c r="J772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773" spans="1:10" x14ac:dyDescent="0.35">
      <c r="A773" t="str">
        <f t="shared" si="114"/>
        <v>JUL</v>
      </c>
      <c r="B773" t="str">
        <f t="shared" si="118"/>
        <v>20</v>
      </c>
      <c r="C773" t="str">
        <f t="shared" si="119"/>
        <v>2020/21</v>
      </c>
      <c r="D773" t="str">
        <f>"LS CF 205423"</f>
        <v>LS CF 205423</v>
      </c>
      <c r="E773" t="str">
        <f t="shared" si="120"/>
        <v>LS</v>
      </c>
      <c r="F773" t="s">
        <v>35</v>
      </c>
      <c r="G773" t="s">
        <v>14</v>
      </c>
      <c r="H773">
        <v>16000</v>
      </c>
      <c r="I773" t="str">
        <f>"South Pennine Rural Regeneration Co Ltd"</f>
        <v>South Pennine Rural Regeneration Co Ltd</v>
      </c>
      <c r="J773" t="str">
        <f>"Subscriptions - General Grants And Subscriptions Supplies And Services Countryside Service Green Space and Street Scene"</f>
        <v>Subscriptions - General Grants And Subscriptions Supplies And Services Countryside Service Green Space and Street Scene</v>
      </c>
    </row>
    <row r="774" spans="1:10" x14ac:dyDescent="0.35">
      <c r="A774" t="str">
        <f t="shared" si="114"/>
        <v>JUL</v>
      </c>
      <c r="B774" t="str">
        <f t="shared" si="118"/>
        <v>20</v>
      </c>
      <c r="C774" t="str">
        <f t="shared" si="119"/>
        <v>2020/21</v>
      </c>
      <c r="D774" t="str">
        <f>"LS PS 204964"</f>
        <v>LS PS 204964</v>
      </c>
      <c r="E774" t="str">
        <f t="shared" si="120"/>
        <v>LS</v>
      </c>
      <c r="F774" t="s">
        <v>35</v>
      </c>
      <c r="G774" t="s">
        <v>14</v>
      </c>
      <c r="H774">
        <v>906</v>
      </c>
      <c r="I774" t="str">
        <f>"British Parking Association"</f>
        <v>British Parking Association</v>
      </c>
      <c r="J774" t="str">
        <f>"Subscriptions - General Grants And Subscriptions Supplies And Services Parking Administration Green Space and Street Scene"</f>
        <v>Subscriptions - General Grants And Subscriptions Supplies And Services Parking Administration Green Space and Street Scene</v>
      </c>
    </row>
    <row r="775" spans="1:10" x14ac:dyDescent="0.35">
      <c r="A775" t="str">
        <f t="shared" ref="A775:A806" si="121">"AUG"</f>
        <v>AUG</v>
      </c>
      <c r="B775" t="str">
        <f t="shared" si="118"/>
        <v>20</v>
      </c>
      <c r="C775" t="str">
        <f t="shared" si="119"/>
        <v>2020/21</v>
      </c>
      <c r="D775" t="str">
        <f>"LS AD 205655"</f>
        <v>LS AD 205655</v>
      </c>
      <c r="E775" t="str">
        <f t="shared" si="120"/>
        <v>LS</v>
      </c>
      <c r="F775" t="s">
        <v>16</v>
      </c>
      <c r="G775" t="s">
        <v>14</v>
      </c>
      <c r="H775">
        <v>25000</v>
      </c>
      <c r="I775" t="str">
        <f>"Square Chapel Trust"</f>
        <v>Square Chapel Trust</v>
      </c>
      <c r="J775" t="str">
        <f>"General Equipment (Building) Equipment Furniture And Materials Supplies And Services Victoria Theatre Overhead Account Museums &amp; Arts"</f>
        <v>General Equipment (Building) Equipment Furniture And Materials Supplies And Services Victoria Theatre Overhead Account Museums &amp; Arts</v>
      </c>
    </row>
    <row r="776" spans="1:10" x14ac:dyDescent="0.35">
      <c r="A776" t="str">
        <f t="shared" si="121"/>
        <v>AUG</v>
      </c>
      <c r="B776" t="str">
        <f t="shared" si="118"/>
        <v>20</v>
      </c>
      <c r="C776" t="str">
        <f t="shared" si="119"/>
        <v>2020/21</v>
      </c>
      <c r="D776" t="str">
        <f>"TF CI 000667"</f>
        <v>TF CI 000667</v>
      </c>
      <c r="E776" t="str">
        <f t="shared" si="120"/>
        <v>TF</v>
      </c>
      <c r="F776" t="s">
        <v>17</v>
      </c>
      <c r="G776" t="s">
        <v>18</v>
      </c>
      <c r="H776">
        <v>12149.92</v>
      </c>
      <c r="I776" t="str">
        <f>"Hebden Bridge Community Association"</f>
        <v>Hebden Bridge Community Association</v>
      </c>
      <c r="J776" t="str">
        <f>"Rent of Hebden Br Council Offices from HBCA Rent And Rates Premises And Related Expenses Policy and Voluntary Sector Economy and Investment"</f>
        <v>Rent of Hebden Br Council Offices from HBCA Rent And Rates Premises And Related Expenses Policy and Voluntary Sector Economy and Investment</v>
      </c>
    </row>
    <row r="777" spans="1:10" x14ac:dyDescent="0.35">
      <c r="A777" t="str">
        <f t="shared" si="121"/>
        <v>AUG</v>
      </c>
      <c r="B777" t="str">
        <f t="shared" si="118"/>
        <v>20</v>
      </c>
      <c r="C777" t="str">
        <f t="shared" si="119"/>
        <v>2020/21</v>
      </c>
      <c r="D777" t="str">
        <f>"TF CI 000663"</f>
        <v>TF CI 000663</v>
      </c>
      <c r="E777" t="str">
        <f t="shared" si="120"/>
        <v>TF</v>
      </c>
      <c r="F777" t="s">
        <v>17</v>
      </c>
      <c r="G777" t="s">
        <v>18</v>
      </c>
      <c r="H777">
        <v>216.42</v>
      </c>
      <c r="I777" t="str">
        <f>"The Piece Hall Trust"</f>
        <v>The Piece Hall Trust</v>
      </c>
      <c r="J777" t="str">
        <f>"Rent Rent And Rates Premises And Related Expenses Halifax TIC Economy and Investment"</f>
        <v>Rent Rent And Rates Premises And Related Expenses Halifax TIC Economy and Investment</v>
      </c>
    </row>
    <row r="778" spans="1:10" x14ac:dyDescent="0.35">
      <c r="A778" t="str">
        <f t="shared" si="121"/>
        <v>AUG</v>
      </c>
      <c r="B778" t="str">
        <f t="shared" si="118"/>
        <v>20</v>
      </c>
      <c r="C778" t="str">
        <f t="shared" si="119"/>
        <v>2020/21</v>
      </c>
      <c r="D778" t="str">
        <f>"CA FM 006558"</f>
        <v>CA FM 006558</v>
      </c>
      <c r="E778" t="str">
        <f t="shared" si="120"/>
        <v>CA</v>
      </c>
      <c r="F778" t="s">
        <v>17</v>
      </c>
      <c r="G778" t="s">
        <v>18</v>
      </c>
      <c r="H778">
        <v>21.64</v>
      </c>
      <c r="I778" t="str">
        <f>"The Piece Hall Trust"</f>
        <v>The Piece Hall Trust</v>
      </c>
      <c r="J778" t="str">
        <f>"Rent Rent And Rates Premises And Related Expenses Halifax TIC Economy and Investment"</f>
        <v>Rent Rent And Rates Premises And Related Expenses Halifax TIC Economy and Investment</v>
      </c>
    </row>
    <row r="779" spans="1:10" x14ac:dyDescent="0.35">
      <c r="A779" t="str">
        <f t="shared" si="121"/>
        <v>AUG</v>
      </c>
      <c r="B779" t="str">
        <f t="shared" si="118"/>
        <v>20</v>
      </c>
      <c r="C779" t="str">
        <f t="shared" si="119"/>
        <v>2020/21</v>
      </c>
      <c r="D779" t="str">
        <f>"LS TR 205634"</f>
        <v>LS TR 205634</v>
      </c>
      <c r="E779" t="str">
        <f t="shared" si="120"/>
        <v>LS</v>
      </c>
      <c r="F779" t="s">
        <v>17</v>
      </c>
      <c r="G779" t="s">
        <v>18</v>
      </c>
      <c r="H779">
        <v>141</v>
      </c>
      <c r="I779" t="str">
        <f>"Hebden Bridge Community Association"</f>
        <v>Hebden Bridge Community Association</v>
      </c>
      <c r="J779" t="str">
        <f>"Resident Comms Services Supplies And Services Tour de Yorkshire Economy and Investment"</f>
        <v>Resident Comms Services Supplies And Services Tour de Yorkshire Economy and Investment</v>
      </c>
    </row>
    <row r="780" spans="1:10" x14ac:dyDescent="0.35">
      <c r="A780" t="str">
        <f t="shared" si="121"/>
        <v>AUG</v>
      </c>
      <c r="B780" t="str">
        <f t="shared" si="118"/>
        <v>20</v>
      </c>
      <c r="C780" t="str">
        <f t="shared" si="119"/>
        <v>2020/21</v>
      </c>
      <c r="D780" t="str">
        <f>"SC CK 213527"</f>
        <v>SC CK 213527</v>
      </c>
      <c r="E780" t="str">
        <f t="shared" si="120"/>
        <v>SC</v>
      </c>
      <c r="F780" t="s">
        <v>21</v>
      </c>
      <c r="G780" t="s">
        <v>22</v>
      </c>
      <c r="H780">
        <v>5994</v>
      </c>
      <c r="I780" t="str">
        <f>"Verd De Gris Ltd"</f>
        <v>Verd De Gris Ltd</v>
      </c>
      <c r="J780" t="str">
        <f>"Communications Private Contractors Agency And Contracted Services Transformation Plan - grant funding Integrated commissioning - children's"</f>
        <v>Communications Private Contractors Agency And Contracted Services Transformation Plan - grant funding Integrated commissioning - children's</v>
      </c>
    </row>
    <row r="781" spans="1:10" x14ac:dyDescent="0.35">
      <c r="A781" t="str">
        <f t="shared" si="121"/>
        <v>AUG</v>
      </c>
      <c r="B781" t="str">
        <f t="shared" si="118"/>
        <v>20</v>
      </c>
      <c r="C781" t="str">
        <f t="shared" si="119"/>
        <v>2020/21</v>
      </c>
      <c r="D781" t="str">
        <f>"SC CK 215400"</f>
        <v>SC CK 215400</v>
      </c>
      <c r="E781" t="str">
        <f t="shared" si="120"/>
        <v>SC</v>
      </c>
      <c r="F781" t="s">
        <v>21</v>
      </c>
      <c r="G781" t="s">
        <v>22</v>
      </c>
      <c r="H781">
        <v>152481.74</v>
      </c>
      <c r="I781" t="str">
        <f>"North Halifax Partnership Ltd"</f>
        <v>North Halifax Partnership Ltd</v>
      </c>
      <c r="J781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782" spans="1:10" x14ac:dyDescent="0.35">
      <c r="A782" t="str">
        <f t="shared" si="121"/>
        <v>AUG</v>
      </c>
      <c r="B782" t="str">
        <f t="shared" si="118"/>
        <v>20</v>
      </c>
      <c r="C782" t="str">
        <f t="shared" si="119"/>
        <v>2020/21</v>
      </c>
      <c r="D782" t="str">
        <f>"SC CK 215517"</f>
        <v>SC CK 215517</v>
      </c>
      <c r="E782" t="str">
        <f t="shared" si="120"/>
        <v>SC</v>
      </c>
      <c r="F782" t="s">
        <v>21</v>
      </c>
      <c r="G782" t="s">
        <v>22</v>
      </c>
      <c r="H782">
        <v>184620.84</v>
      </c>
      <c r="I782" t="str">
        <f>"Halifax Opportunities Trust"</f>
        <v>Halifax Opportunities Trust</v>
      </c>
      <c r="J782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783" spans="1:10" x14ac:dyDescent="0.35">
      <c r="A783" t="str">
        <f t="shared" si="121"/>
        <v>AUG</v>
      </c>
      <c r="B783" t="str">
        <f t="shared" si="118"/>
        <v>20</v>
      </c>
      <c r="C783" t="str">
        <f t="shared" si="119"/>
        <v>2020/21</v>
      </c>
      <c r="D783" t="str">
        <f>"SC DC 215419"</f>
        <v>SC DC 215419</v>
      </c>
      <c r="E783" t="str">
        <f t="shared" si="120"/>
        <v>SC</v>
      </c>
      <c r="F783" t="s">
        <v>21</v>
      </c>
      <c r="G783" t="s">
        <v>22</v>
      </c>
      <c r="H783">
        <v>148.32</v>
      </c>
      <c r="I783" t="str">
        <f>"Carers Trust Mid Yorkshire"</f>
        <v>Carers Trust Mid Yorkshire</v>
      </c>
      <c r="J783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784" spans="1:10" x14ac:dyDescent="0.35">
      <c r="A784" t="str">
        <f t="shared" si="121"/>
        <v>AUG</v>
      </c>
      <c r="B784" t="str">
        <f t="shared" si="118"/>
        <v>20</v>
      </c>
      <c r="C784" t="str">
        <f t="shared" si="119"/>
        <v>2020/21</v>
      </c>
      <c r="D784" t="str">
        <f>"SC DC 215418"</f>
        <v>SC DC 215418</v>
      </c>
      <c r="E784" t="str">
        <f t="shared" si="120"/>
        <v>SC</v>
      </c>
      <c r="F784" t="s">
        <v>21</v>
      </c>
      <c r="G784" t="s">
        <v>22</v>
      </c>
      <c r="H784">
        <v>197.76</v>
      </c>
      <c r="I784" t="str">
        <f>"Carers Trust Mid Yorkshire"</f>
        <v>Carers Trust Mid Yorkshire</v>
      </c>
      <c r="J784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785" spans="1:10" x14ac:dyDescent="0.35">
      <c r="A785" t="str">
        <f t="shared" si="121"/>
        <v>AUG</v>
      </c>
      <c r="B785" t="str">
        <f t="shared" si="118"/>
        <v>20</v>
      </c>
      <c r="C785" t="str">
        <f t="shared" si="119"/>
        <v>2020/21</v>
      </c>
      <c r="D785" t="str">
        <f>"SC DC 215835"</f>
        <v>SC DC 215835</v>
      </c>
      <c r="E785" t="str">
        <f t="shared" si="120"/>
        <v>SC</v>
      </c>
      <c r="F785" t="s">
        <v>21</v>
      </c>
      <c r="G785" t="s">
        <v>22</v>
      </c>
      <c r="H785">
        <v>190.08</v>
      </c>
      <c r="I785" t="str">
        <f>"The Mayfield Trust"</f>
        <v>The Mayfield Trust</v>
      </c>
      <c r="J785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786" spans="1:10" x14ac:dyDescent="0.35">
      <c r="A786" t="str">
        <f t="shared" si="121"/>
        <v>AUG</v>
      </c>
      <c r="B786" t="str">
        <f t="shared" si="118"/>
        <v>20</v>
      </c>
      <c r="C786" t="str">
        <f t="shared" si="119"/>
        <v>2020/21</v>
      </c>
      <c r="D786" t="str">
        <f>"SC DC 215411"</f>
        <v>SC DC 215411</v>
      </c>
      <c r="E786" t="str">
        <f t="shared" si="120"/>
        <v>SC</v>
      </c>
      <c r="F786" t="s">
        <v>21</v>
      </c>
      <c r="G786" t="s">
        <v>22</v>
      </c>
      <c r="H786">
        <v>570.24</v>
      </c>
      <c r="I786" t="str">
        <f>"The Mayfield Trust"</f>
        <v>The Mayfield Trust</v>
      </c>
      <c r="J786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787" spans="1:10" x14ac:dyDescent="0.35">
      <c r="A787" t="str">
        <f t="shared" si="121"/>
        <v>AUG</v>
      </c>
      <c r="B787" t="str">
        <f t="shared" si="118"/>
        <v>20</v>
      </c>
      <c r="C787" t="str">
        <f t="shared" si="119"/>
        <v>2020/21</v>
      </c>
      <c r="D787" t="str">
        <f>"SC CK 214910"</f>
        <v>SC CK 214910</v>
      </c>
      <c r="E787" t="str">
        <f t="shared" si="120"/>
        <v>SC</v>
      </c>
      <c r="F787" t="s">
        <v>21</v>
      </c>
      <c r="G787" t="s">
        <v>22</v>
      </c>
      <c r="H787">
        <v>1300</v>
      </c>
      <c r="I787" t="str">
        <f>"Phoenix Radio"</f>
        <v>Phoenix Radio</v>
      </c>
      <c r="J787" t="str">
        <f>"Group Activities Other Agency And Contracted Services Agency And Contracted Services Short Breaks Integrated commissioning - children's"</f>
        <v>Group Activities Other Agency And Contracted Services Agency And Contracted Services Short Breaks Integrated commissioning - children's</v>
      </c>
    </row>
    <row r="788" spans="1:10" x14ac:dyDescent="0.35">
      <c r="A788" t="str">
        <f t="shared" si="121"/>
        <v>AUG</v>
      </c>
      <c r="B788" t="str">
        <f t="shared" si="118"/>
        <v>20</v>
      </c>
      <c r="C788" t="str">
        <f t="shared" si="119"/>
        <v>2020/21</v>
      </c>
      <c r="D788" t="str">
        <f>"CE PH 014102"</f>
        <v>CE PH 014102</v>
      </c>
      <c r="E788" t="str">
        <f t="shared" si="120"/>
        <v>CE</v>
      </c>
      <c r="F788" t="s">
        <v>23</v>
      </c>
      <c r="G788" t="s">
        <v>24</v>
      </c>
      <c r="H788">
        <v>249204.83</v>
      </c>
      <c r="I788" t="str">
        <f>"Humankind"</f>
        <v>Humankind</v>
      </c>
      <c r="J788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789" spans="1:10" x14ac:dyDescent="0.35">
      <c r="A789" t="str">
        <f t="shared" si="121"/>
        <v>AUG</v>
      </c>
      <c r="B789" t="str">
        <f t="shared" si="118"/>
        <v>20</v>
      </c>
      <c r="C789" t="str">
        <f t="shared" si="119"/>
        <v>2020/21</v>
      </c>
      <c r="D789" t="str">
        <f>"CE PH 014114"</f>
        <v>CE PH 014114</v>
      </c>
      <c r="E789" t="str">
        <f t="shared" si="120"/>
        <v>CE</v>
      </c>
      <c r="F789" t="s">
        <v>23</v>
      </c>
      <c r="G789" t="s">
        <v>24</v>
      </c>
      <c r="H789">
        <v>292505.59000000003</v>
      </c>
      <c r="I789" t="str">
        <f>"Locala Community Partnerships CIC"</f>
        <v>Locala Community Partnerships CIC</v>
      </c>
      <c r="J789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790" spans="1:10" x14ac:dyDescent="0.35">
      <c r="A790" t="str">
        <f t="shared" si="121"/>
        <v>AUG</v>
      </c>
      <c r="B790" t="str">
        <f t="shared" si="118"/>
        <v>20</v>
      </c>
      <c r="C790" t="str">
        <f t="shared" si="119"/>
        <v>2020/21</v>
      </c>
      <c r="D790" t="str">
        <f>"CE PH 014096"</f>
        <v>CE PH 014096</v>
      </c>
      <c r="E790" t="str">
        <f t="shared" si="120"/>
        <v>CE</v>
      </c>
      <c r="F790" t="s">
        <v>23</v>
      </c>
      <c r="G790" t="s">
        <v>24</v>
      </c>
      <c r="H790">
        <v>22682</v>
      </c>
      <c r="I790" t="str">
        <f>"Humankind"</f>
        <v>Humankind</v>
      </c>
      <c r="J790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791" spans="1:10" x14ac:dyDescent="0.35">
      <c r="A791" t="str">
        <f t="shared" si="121"/>
        <v>AUG</v>
      </c>
      <c r="B791" t="str">
        <f t="shared" si="118"/>
        <v>20</v>
      </c>
      <c r="C791" t="str">
        <f t="shared" si="119"/>
        <v>2020/21</v>
      </c>
      <c r="D791" t="str">
        <f>"SS FD 113782"</f>
        <v>SS FD 113782</v>
      </c>
      <c r="E791" t="str">
        <f t="shared" si="120"/>
        <v>SS</v>
      </c>
      <c r="F791" t="s">
        <v>25</v>
      </c>
      <c r="G791" t="s">
        <v>22</v>
      </c>
      <c r="H791">
        <v>247.2</v>
      </c>
      <c r="I791" t="str">
        <f>"Carers Trust Mid Yorkshire"</f>
        <v>Carers Trust Mid Yorkshire</v>
      </c>
      <c r="J791" t="str">
        <f t="shared" ref="J791:J797" si="122"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792" spans="1:10" x14ac:dyDescent="0.35">
      <c r="A792" t="str">
        <f t="shared" si="121"/>
        <v>AUG</v>
      </c>
      <c r="B792" t="str">
        <f t="shared" si="118"/>
        <v>20</v>
      </c>
      <c r="C792" t="str">
        <f t="shared" si="119"/>
        <v>2020/21</v>
      </c>
      <c r="D792" t="str">
        <f>"SS FD 113786"</f>
        <v>SS FD 113786</v>
      </c>
      <c r="E792" t="str">
        <f t="shared" si="120"/>
        <v>SS</v>
      </c>
      <c r="F792" t="s">
        <v>25</v>
      </c>
      <c r="G792" t="s">
        <v>22</v>
      </c>
      <c r="H792">
        <v>2300.1999999999998</v>
      </c>
      <c r="I792" t="str">
        <f>"Helping Hands (HX)"</f>
        <v>Helping Hands (HX)</v>
      </c>
      <c r="J792" t="str">
        <f t="shared" si="122"/>
        <v>Flexible Day Care - Voluntary Associations Voluntary Associations Agency And Contracted Services Purchased Day Opportunities Learning Disabiliti</v>
      </c>
    </row>
    <row r="793" spans="1:10" x14ac:dyDescent="0.35">
      <c r="A793" t="str">
        <f t="shared" si="121"/>
        <v>AUG</v>
      </c>
      <c r="B793" t="str">
        <f t="shared" si="118"/>
        <v>20</v>
      </c>
      <c r="C793" t="str">
        <f t="shared" si="119"/>
        <v>2020/21</v>
      </c>
      <c r="D793" t="str">
        <f>"SS FD 113790"</f>
        <v>SS FD 113790</v>
      </c>
      <c r="E793" t="str">
        <f t="shared" si="120"/>
        <v>SS</v>
      </c>
      <c r="F793" t="s">
        <v>25</v>
      </c>
      <c r="G793" t="s">
        <v>22</v>
      </c>
      <c r="H793">
        <v>3596.04</v>
      </c>
      <c r="I793" t="str">
        <f>"The Hive (Halifax) Ltd"</f>
        <v>The Hive (Halifax) Ltd</v>
      </c>
      <c r="J793" t="str">
        <f t="shared" si="122"/>
        <v>Flexible Day Care - Voluntary Associations Voluntary Associations Agency And Contracted Services Purchased Day Opportunities Learning Disabiliti</v>
      </c>
    </row>
    <row r="794" spans="1:10" x14ac:dyDescent="0.35">
      <c r="A794" t="str">
        <f t="shared" si="121"/>
        <v>AUG</v>
      </c>
      <c r="B794" t="str">
        <f t="shared" si="118"/>
        <v>20</v>
      </c>
      <c r="C794" t="str">
        <f t="shared" si="119"/>
        <v>2020/21</v>
      </c>
      <c r="D794" t="str">
        <f>"SS FD 113780"</f>
        <v>SS FD 113780</v>
      </c>
      <c r="E794" t="str">
        <f t="shared" si="120"/>
        <v>SS</v>
      </c>
      <c r="F794" t="s">
        <v>25</v>
      </c>
      <c r="G794" t="s">
        <v>22</v>
      </c>
      <c r="H794">
        <v>-0.01</v>
      </c>
      <c r="I794" t="str">
        <f>"The Next Step Trust"</f>
        <v>The Next Step Trust</v>
      </c>
      <c r="J794" t="str">
        <f t="shared" si="122"/>
        <v>Flexible Day Care - Voluntary Associations Voluntary Associations Agency And Contracted Services Purchased Day Opportunities Learning Disabiliti</v>
      </c>
    </row>
    <row r="795" spans="1:10" x14ac:dyDescent="0.35">
      <c r="A795" t="str">
        <f t="shared" si="121"/>
        <v>AUG</v>
      </c>
      <c r="B795" t="str">
        <f t="shared" si="118"/>
        <v>20</v>
      </c>
      <c r="C795" t="str">
        <f t="shared" si="119"/>
        <v>2020/21</v>
      </c>
      <c r="D795" t="str">
        <f>"SS FD 113780"</f>
        <v>SS FD 113780</v>
      </c>
      <c r="E795" t="str">
        <f t="shared" si="120"/>
        <v>SS</v>
      </c>
      <c r="F795" t="s">
        <v>25</v>
      </c>
      <c r="G795" t="s">
        <v>22</v>
      </c>
      <c r="H795">
        <v>106053.7</v>
      </c>
      <c r="I795" t="str">
        <f>"The Next Step Trust"</f>
        <v>The Next Step Trust</v>
      </c>
      <c r="J795" t="str">
        <f t="shared" si="122"/>
        <v>Flexible Day Care - Voluntary Associations Voluntary Associations Agency And Contracted Services Purchased Day Opportunities Learning Disabiliti</v>
      </c>
    </row>
    <row r="796" spans="1:10" x14ac:dyDescent="0.35">
      <c r="A796" t="str">
        <f t="shared" si="121"/>
        <v>AUG</v>
      </c>
      <c r="B796" t="str">
        <f t="shared" si="118"/>
        <v>20</v>
      </c>
      <c r="C796" t="str">
        <f t="shared" si="119"/>
        <v>2020/21</v>
      </c>
      <c r="D796" t="str">
        <f>"SS FD 113780"</f>
        <v>SS FD 113780</v>
      </c>
      <c r="E796" t="str">
        <f t="shared" si="120"/>
        <v>SS</v>
      </c>
      <c r="F796" t="s">
        <v>25</v>
      </c>
      <c r="G796" t="s">
        <v>22</v>
      </c>
      <c r="H796">
        <v>3369.11</v>
      </c>
      <c r="I796" t="str">
        <f>"The Next Step Trust"</f>
        <v>The Next Step Trust</v>
      </c>
      <c r="J796" t="str">
        <f t="shared" si="122"/>
        <v>Flexible Day Care - Voluntary Associations Voluntary Associations Agency And Contracted Services Purchased Day Opportunities Learning Disabiliti</v>
      </c>
    </row>
    <row r="797" spans="1:10" x14ac:dyDescent="0.35">
      <c r="A797" t="str">
        <f t="shared" si="121"/>
        <v>AUG</v>
      </c>
      <c r="B797" t="str">
        <f t="shared" si="118"/>
        <v>20</v>
      </c>
      <c r="C797" t="str">
        <f t="shared" si="119"/>
        <v>2020/21</v>
      </c>
      <c r="D797" t="str">
        <f>"SS FD 113789"</f>
        <v>SS FD 113789</v>
      </c>
      <c r="E797" t="str">
        <f t="shared" si="120"/>
        <v>SS</v>
      </c>
      <c r="F797" t="s">
        <v>25</v>
      </c>
      <c r="G797" t="s">
        <v>22</v>
      </c>
      <c r="H797">
        <v>39593.19</v>
      </c>
      <c r="I797" t="str">
        <f>"Pennine Magpie"</f>
        <v>Pennine Magpie</v>
      </c>
      <c r="J797" t="str">
        <f t="shared" si="122"/>
        <v>Flexible Day Care - Voluntary Associations Voluntary Associations Agency And Contracted Services Purchased Day Opportunities Learning Disabiliti</v>
      </c>
    </row>
    <row r="798" spans="1:10" x14ac:dyDescent="0.35">
      <c r="A798" t="str">
        <f t="shared" si="121"/>
        <v>AUG</v>
      </c>
      <c r="B798" t="str">
        <f t="shared" si="118"/>
        <v>20</v>
      </c>
      <c r="C798" t="str">
        <f t="shared" si="119"/>
        <v>2020/21</v>
      </c>
      <c r="D798" t="str">
        <f>"SS FD 114303"</f>
        <v>SS FD 114303</v>
      </c>
      <c r="E798" t="str">
        <f t="shared" si="120"/>
        <v>SS</v>
      </c>
      <c r="F798" t="s">
        <v>25</v>
      </c>
      <c r="G798" t="s">
        <v>22</v>
      </c>
      <c r="H798">
        <v>1620.04</v>
      </c>
      <c r="I798" t="str">
        <f>"The Mayfield Trust"</f>
        <v>The Mayfield Trust</v>
      </c>
      <c r="J798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799" spans="1:10" x14ac:dyDescent="0.35">
      <c r="A799" t="str">
        <f t="shared" si="121"/>
        <v>AUG</v>
      </c>
      <c r="B799" t="str">
        <f t="shared" si="118"/>
        <v>20</v>
      </c>
      <c r="C799" t="str">
        <f t="shared" si="119"/>
        <v>2020/21</v>
      </c>
      <c r="D799" t="str">
        <f>"HS TA 016821"</f>
        <v>HS TA 016821</v>
      </c>
      <c r="E799" t="str">
        <f t="shared" si="120"/>
        <v>HS</v>
      </c>
      <c r="F799" t="s">
        <v>26</v>
      </c>
      <c r="G799" t="s">
        <v>18</v>
      </c>
      <c r="H799">
        <v>35443.24</v>
      </c>
      <c r="I799" t="str">
        <f>"Christians Together Calderdale"</f>
        <v>Christians Together Calderdale</v>
      </c>
      <c r="J799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800" spans="1:10" x14ac:dyDescent="0.35">
      <c r="A800" t="str">
        <f t="shared" si="121"/>
        <v>AUG</v>
      </c>
      <c r="B800" t="str">
        <f t="shared" si="118"/>
        <v>20</v>
      </c>
      <c r="C800" t="str">
        <f t="shared" si="119"/>
        <v>2020/21</v>
      </c>
      <c r="D800" t="str">
        <f>"CA FM 006539"</f>
        <v>CA FM 006539</v>
      </c>
      <c r="E800" t="str">
        <f t="shared" si="120"/>
        <v>CA</v>
      </c>
      <c r="F800" t="s">
        <v>27</v>
      </c>
      <c r="G800" t="s">
        <v>18</v>
      </c>
      <c r="H800">
        <v>3750</v>
      </c>
      <c r="I800" t="str">
        <f>"Calderdale Industrial Museum Association"</f>
        <v>Calderdale Industrial Museum Association</v>
      </c>
      <c r="J800" t="str">
        <f>"Community asset transfer - grant to Calderdale Industrial Museum Assoc Transfer Payments - School Children And Students Transfer Payments Miscel"</f>
        <v>Community asset transfer - grant to Calderdale Industrial Museum Assoc Transfer Payments - School Children And Students Transfer Payments Miscel</v>
      </c>
    </row>
    <row r="801" spans="1:10" x14ac:dyDescent="0.35">
      <c r="A801" t="str">
        <f t="shared" si="121"/>
        <v>AUG</v>
      </c>
      <c r="B801" t="str">
        <f t="shared" si="118"/>
        <v>20</v>
      </c>
      <c r="C801" t="str">
        <f t="shared" si="119"/>
        <v>2020/21</v>
      </c>
      <c r="D801" t="str">
        <f>"EG FR 064185"</f>
        <v>EG FR 064185</v>
      </c>
      <c r="E801" t="str">
        <f t="shared" si="120"/>
        <v>EG</v>
      </c>
      <c r="F801" t="s">
        <v>28</v>
      </c>
      <c r="G801" t="s">
        <v>18</v>
      </c>
      <c r="H801">
        <v>20000</v>
      </c>
      <c r="I801" t="str">
        <f>"Community Foundation for Calderdale"</f>
        <v>Community Foundation for Calderdale</v>
      </c>
      <c r="J801" t="str">
        <f>"EA Funding - CFFC Costs Miscellaneous Expenses Supplies And Services Flood Risk Management Highways and Engineering Services"</f>
        <v>EA Funding - CFFC Costs Miscellaneous Expenses Supplies And Services Flood Risk Management Highways and Engineering Services</v>
      </c>
    </row>
    <row r="802" spans="1:10" x14ac:dyDescent="0.35">
      <c r="A802" t="str">
        <f t="shared" si="121"/>
        <v>AUG</v>
      </c>
      <c r="B802" t="str">
        <f t="shared" si="118"/>
        <v>20</v>
      </c>
      <c r="C802" t="str">
        <f t="shared" si="119"/>
        <v>2020/21</v>
      </c>
      <c r="D802" t="str">
        <f>"SC LA 216736"</f>
        <v>SC LA 216736</v>
      </c>
      <c r="E802" t="str">
        <f t="shared" si="120"/>
        <v>SC</v>
      </c>
      <c r="F802" t="s">
        <v>29</v>
      </c>
      <c r="G802" t="s">
        <v>30</v>
      </c>
      <c r="H802">
        <v>700</v>
      </c>
      <c r="I802" t="str">
        <f>"Field Lane Children's Centre"</f>
        <v>Field Lane Children's Centre</v>
      </c>
      <c r="J802" t="str">
        <f>"Standards Fund grant devolved to schools Government Grants Income Government Grant Holding A/C Children and Young People's Serv - Central Depts."</f>
        <v>Standards Fund grant devolved to schools Government Grants Income Government Grant Holding A/C Children and Young People's Serv - Central Depts.</v>
      </c>
    </row>
    <row r="803" spans="1:10" x14ac:dyDescent="0.35">
      <c r="A803" t="str">
        <f t="shared" si="121"/>
        <v>AUG</v>
      </c>
      <c r="B803" t="str">
        <f t="shared" si="118"/>
        <v>20</v>
      </c>
      <c r="C803" t="str">
        <f t="shared" si="119"/>
        <v>2020/21</v>
      </c>
      <c r="D803" t="str">
        <f>"SC AH 212171"</f>
        <v>SC AH 212171</v>
      </c>
      <c r="E803" t="str">
        <f t="shared" si="120"/>
        <v>SC</v>
      </c>
      <c r="F803" t="s">
        <v>31</v>
      </c>
      <c r="G803" t="s">
        <v>30</v>
      </c>
      <c r="H803">
        <v>2265</v>
      </c>
      <c r="I803" t="str">
        <f>"Halifax Opportunities Trust"</f>
        <v>Halifax Opportunities Trust</v>
      </c>
      <c r="J803" t="str">
        <f>"CAL fund Expenses Supplies And Services CAL - Salaries Schools and Children's Services - Non-School"</f>
        <v>CAL fund Expenses Supplies And Services CAL - Salaries Schools and Children's Services - Non-School</v>
      </c>
    </row>
    <row r="804" spans="1:10" x14ac:dyDescent="0.35">
      <c r="A804" t="str">
        <f t="shared" si="121"/>
        <v>AUG</v>
      </c>
      <c r="B804" t="str">
        <f t="shared" si="118"/>
        <v>20</v>
      </c>
      <c r="C804" t="str">
        <f t="shared" si="119"/>
        <v>2020/21</v>
      </c>
      <c r="D804" t="str">
        <f>"SC AH 212171"</f>
        <v>SC AH 212171</v>
      </c>
      <c r="E804" t="str">
        <f t="shared" si="120"/>
        <v>SC</v>
      </c>
      <c r="F804" t="s">
        <v>31</v>
      </c>
      <c r="G804" t="s">
        <v>30</v>
      </c>
      <c r="H804">
        <v>1510</v>
      </c>
      <c r="I804" t="str">
        <f>"Halifax Opportunities Trust"</f>
        <v>Halifax Opportunities Trust</v>
      </c>
      <c r="J804" t="str">
        <f>"CAL fund Expenses Supplies And Services CAL - Salaries Schools and Children's Services - Non-School"</f>
        <v>CAL fund Expenses Supplies And Services CAL - Salaries Schools and Children's Services - Non-School</v>
      </c>
    </row>
    <row r="805" spans="1:10" x14ac:dyDescent="0.35">
      <c r="A805" t="str">
        <f t="shared" si="121"/>
        <v>AUG</v>
      </c>
      <c r="B805" t="str">
        <f t="shared" si="118"/>
        <v>20</v>
      </c>
      <c r="C805" t="str">
        <f t="shared" si="119"/>
        <v>2020/21</v>
      </c>
      <c r="D805" t="str">
        <f>"SC AH 212171"</f>
        <v>SC AH 212171</v>
      </c>
      <c r="E805" t="str">
        <f t="shared" si="120"/>
        <v>SC</v>
      </c>
      <c r="F805" t="s">
        <v>31</v>
      </c>
      <c r="G805" t="s">
        <v>30</v>
      </c>
      <c r="H805">
        <v>4145</v>
      </c>
      <c r="I805" t="str">
        <f>"Halifax Opportunities Trust"</f>
        <v>Halifax Opportunities Trust</v>
      </c>
      <c r="J805" t="str">
        <f>"CAL fund Expenses Supplies And Services CAL - Salaries Schools and Children's Services - Non-School"</f>
        <v>CAL fund Expenses Supplies And Services CAL - Salaries Schools and Children's Services - Non-School</v>
      </c>
    </row>
    <row r="806" spans="1:10" x14ac:dyDescent="0.35">
      <c r="A806" t="str">
        <f t="shared" si="121"/>
        <v>AUG</v>
      </c>
      <c r="B806" t="str">
        <f t="shared" si="118"/>
        <v>20</v>
      </c>
      <c r="C806" t="str">
        <f t="shared" si="119"/>
        <v>2020/21</v>
      </c>
      <c r="D806" t="str">
        <f>"SC AH 212171"</f>
        <v>SC AH 212171</v>
      </c>
      <c r="E806" t="str">
        <f t="shared" si="120"/>
        <v>SC</v>
      </c>
      <c r="F806" t="s">
        <v>31</v>
      </c>
      <c r="G806" t="s">
        <v>30</v>
      </c>
      <c r="H806">
        <v>5595</v>
      </c>
      <c r="I806" t="str">
        <f>"Halifax Opportunities Trust"</f>
        <v>Halifax Opportunities Trust</v>
      </c>
      <c r="J806" t="str">
        <f>"CAL fund Expenses Supplies And Services CAL - Salaries Schools and Children's Services - Non-School"</f>
        <v>CAL fund Expenses Supplies And Services CAL - Salaries Schools and Children's Services - Non-School</v>
      </c>
    </row>
    <row r="807" spans="1:10" x14ac:dyDescent="0.35">
      <c r="A807" t="str">
        <f t="shared" ref="A807:A838" si="123">"AUG"</f>
        <v>AUG</v>
      </c>
      <c r="B807" t="str">
        <f t="shared" si="118"/>
        <v>20</v>
      </c>
      <c r="C807" t="str">
        <f t="shared" si="119"/>
        <v>2020/21</v>
      </c>
      <c r="D807" t="str">
        <f>"SC AH 212171"</f>
        <v>SC AH 212171</v>
      </c>
      <c r="E807" t="str">
        <f t="shared" si="120"/>
        <v>SC</v>
      </c>
      <c r="F807" t="s">
        <v>31</v>
      </c>
      <c r="G807" t="s">
        <v>30</v>
      </c>
      <c r="H807">
        <v>500</v>
      </c>
      <c r="I807" t="str">
        <f>"Halifax Opportunities Trust"</f>
        <v>Halifax Opportunities Trust</v>
      </c>
      <c r="J807" t="str">
        <f>"CAL fund Expenses Supplies And Services CAL - Salaries Schools and Children's Services - Non-School"</f>
        <v>CAL fund Expenses Supplies And Services CAL - Salaries Schools and Children's Services - Non-School</v>
      </c>
    </row>
    <row r="808" spans="1:10" x14ac:dyDescent="0.35">
      <c r="A808" t="str">
        <f t="shared" si="123"/>
        <v>AUG</v>
      </c>
      <c r="B808" t="str">
        <f t="shared" si="118"/>
        <v>20</v>
      </c>
      <c r="C808" t="str">
        <f t="shared" si="119"/>
        <v>2020/21</v>
      </c>
      <c r="D808" t="str">
        <f>"SC EY 216822"</f>
        <v>SC EY 216822</v>
      </c>
      <c r="E808" t="str">
        <f t="shared" si="120"/>
        <v>SC</v>
      </c>
      <c r="F808" t="s">
        <v>32</v>
      </c>
      <c r="G808" t="s">
        <v>30</v>
      </c>
      <c r="H808">
        <v>459</v>
      </c>
      <c r="I808" t="str">
        <f>"Creations Community Childrens Centre"</f>
        <v>Creations Community Childrens Centre</v>
      </c>
      <c r="J808" t="str">
        <f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809" spans="1:10" x14ac:dyDescent="0.35">
      <c r="A809" t="str">
        <f t="shared" si="123"/>
        <v>AUG</v>
      </c>
      <c r="B809" t="str">
        <f t="shared" si="118"/>
        <v>20</v>
      </c>
      <c r="C809" t="str">
        <f t="shared" si="119"/>
        <v>2020/21</v>
      </c>
      <c r="D809" t="str">
        <f>"SC EY 216838"</f>
        <v>SC EY 216838</v>
      </c>
      <c r="E809" t="str">
        <f t="shared" si="120"/>
        <v>SC</v>
      </c>
      <c r="F809" t="s">
        <v>32</v>
      </c>
      <c r="G809" t="s">
        <v>30</v>
      </c>
      <c r="H809">
        <v>520</v>
      </c>
      <c r="I809" t="str">
        <f>"Ash Green Childrens Centre"</f>
        <v>Ash Green Childrens Centre</v>
      </c>
      <c r="J809" t="str">
        <f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810" spans="1:10" x14ac:dyDescent="0.35">
      <c r="A810" t="str">
        <f t="shared" si="123"/>
        <v>AUG</v>
      </c>
      <c r="B810" t="str">
        <f t="shared" si="118"/>
        <v>20</v>
      </c>
      <c r="C810" t="str">
        <f t="shared" si="119"/>
        <v>2020/21</v>
      </c>
      <c r="D810" t="str">
        <f>"SC EY 216840"</f>
        <v>SC EY 216840</v>
      </c>
      <c r="E810" t="str">
        <f t="shared" si="120"/>
        <v>SC</v>
      </c>
      <c r="F810" t="s">
        <v>32</v>
      </c>
      <c r="G810" t="s">
        <v>30</v>
      </c>
      <c r="H810">
        <v>2522</v>
      </c>
      <c r="I810" t="str">
        <f>"Kevin Pearce Childrens Centre"</f>
        <v>Kevin Pearce Childrens Centre</v>
      </c>
      <c r="J810" t="str">
        <f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811" spans="1:10" x14ac:dyDescent="0.35">
      <c r="A811" t="str">
        <f t="shared" si="123"/>
        <v>AUG</v>
      </c>
      <c r="B811" t="str">
        <f t="shared" si="118"/>
        <v>20</v>
      </c>
      <c r="C811" t="str">
        <f t="shared" si="119"/>
        <v>2020/21</v>
      </c>
      <c r="D811" t="str">
        <f>"SC EY 216831"</f>
        <v>SC EY 216831</v>
      </c>
      <c r="E811" t="str">
        <f t="shared" si="120"/>
        <v>SC</v>
      </c>
      <c r="F811" t="s">
        <v>32</v>
      </c>
      <c r="G811" t="s">
        <v>30</v>
      </c>
      <c r="H811">
        <v>248</v>
      </c>
      <c r="I811" t="str">
        <f>"Todmorden Children's Centre"</f>
        <v>Todmorden Children's Centre</v>
      </c>
      <c r="J811" t="str">
        <f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812" spans="1:10" x14ac:dyDescent="0.35">
      <c r="A812" t="str">
        <f t="shared" si="123"/>
        <v>AUG</v>
      </c>
      <c r="B812" t="str">
        <f t="shared" si="118"/>
        <v>20</v>
      </c>
      <c r="C812" t="str">
        <f t="shared" si="119"/>
        <v>2020/21</v>
      </c>
      <c r="D812" t="str">
        <f>"SC EY 216893"</f>
        <v>SC EY 216893</v>
      </c>
      <c r="E812" t="str">
        <f t="shared" si="120"/>
        <v>SC</v>
      </c>
      <c r="F812" t="s">
        <v>32</v>
      </c>
      <c r="G812" t="s">
        <v>30</v>
      </c>
      <c r="H812">
        <v>113.5</v>
      </c>
      <c r="I812" t="str">
        <f>"Wellholme Children's Centre"</f>
        <v>Wellholme Children's Centre</v>
      </c>
      <c r="J812" t="str">
        <f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813" spans="1:10" x14ac:dyDescent="0.35">
      <c r="A813" t="str">
        <f t="shared" si="123"/>
        <v>AUG</v>
      </c>
      <c r="B813" t="str">
        <f t="shared" si="118"/>
        <v>20</v>
      </c>
      <c r="C813" t="str">
        <f t="shared" si="119"/>
        <v>2020/21</v>
      </c>
      <c r="E813" t="str">
        <f t="shared" si="120"/>
        <v/>
      </c>
      <c r="F813" t="s">
        <v>32</v>
      </c>
      <c r="G813" t="s">
        <v>30</v>
      </c>
      <c r="H813">
        <v>18847.5</v>
      </c>
      <c r="I813" t="str">
        <f>"Children's Corner Pre-School Committee"</f>
        <v>Children's Corner Pre-School Committee</v>
      </c>
      <c r="J813" t="str">
        <f t="shared" ref="J813:J830" si="124">"3 Year Old Funding Other Committees Other Committees Of The Council Agency And Contracted Services Nursery Grant Funding Childrens Services Unit"</f>
        <v>3 Year Old Funding Other Committees Other Committees Of The Council Agency And Contracted Services Nursery Grant Funding Childrens Services Unit</v>
      </c>
    </row>
    <row r="814" spans="1:10" x14ac:dyDescent="0.35">
      <c r="A814" t="str">
        <f t="shared" si="123"/>
        <v>AUG</v>
      </c>
      <c r="B814" t="str">
        <f t="shared" si="118"/>
        <v>20</v>
      </c>
      <c r="C814" t="str">
        <f t="shared" si="119"/>
        <v>2020/21</v>
      </c>
      <c r="E814" t="str">
        <f t="shared" si="120"/>
        <v/>
      </c>
      <c r="F814" t="s">
        <v>32</v>
      </c>
      <c r="G814" t="s">
        <v>30</v>
      </c>
      <c r="H814">
        <v>13620.6</v>
      </c>
      <c r="I814" t="str">
        <f>"Calder Valley Steiner School"</f>
        <v>Calder Valley Steiner School</v>
      </c>
      <c r="J814" t="str">
        <f t="shared" si="124"/>
        <v>3 Year Old Funding Other Committees Other Committees Of The Council Agency And Contracted Services Nursery Grant Funding Childrens Services Unit</v>
      </c>
    </row>
    <row r="815" spans="1:10" x14ac:dyDescent="0.35">
      <c r="A815" t="str">
        <f t="shared" si="123"/>
        <v>AUG</v>
      </c>
      <c r="B815" t="str">
        <f t="shared" si="118"/>
        <v>20</v>
      </c>
      <c r="C815" t="str">
        <f t="shared" si="119"/>
        <v>2020/21</v>
      </c>
      <c r="E815" t="str">
        <f t="shared" si="120"/>
        <v/>
      </c>
      <c r="F815" t="s">
        <v>32</v>
      </c>
      <c r="G815" t="s">
        <v>30</v>
      </c>
      <c r="H815">
        <v>4440.24</v>
      </c>
      <c r="I815" t="str">
        <f>"Colden Pre-School Playgroup"</f>
        <v>Colden Pre-School Playgroup</v>
      </c>
      <c r="J815" t="str">
        <f t="shared" si="124"/>
        <v>3 Year Old Funding Other Committees Other Committees Of The Council Agency And Contracted Services Nursery Grant Funding Childrens Services Unit</v>
      </c>
    </row>
    <row r="816" spans="1:10" x14ac:dyDescent="0.35">
      <c r="A816" t="str">
        <f t="shared" si="123"/>
        <v>AUG</v>
      </c>
      <c r="B816" t="str">
        <f t="shared" si="118"/>
        <v>20</v>
      </c>
      <c r="C816" t="str">
        <f t="shared" si="119"/>
        <v>2020/21</v>
      </c>
      <c r="E816" t="str">
        <f t="shared" si="120"/>
        <v/>
      </c>
      <c r="F816" t="s">
        <v>32</v>
      </c>
      <c r="G816" t="s">
        <v>30</v>
      </c>
      <c r="H816">
        <v>48235.32</v>
      </c>
      <c r="I816" t="str">
        <f>"Creations Community Childrens Centre"</f>
        <v>Creations Community Childrens Centre</v>
      </c>
      <c r="J816" t="str">
        <f t="shared" si="124"/>
        <v>3 Year Old Funding Other Committees Other Committees Of The Council Agency And Contracted Services Nursery Grant Funding Childrens Services Unit</v>
      </c>
    </row>
    <row r="817" spans="1:10" x14ac:dyDescent="0.35">
      <c r="A817" t="str">
        <f t="shared" si="123"/>
        <v>AUG</v>
      </c>
      <c r="B817" t="str">
        <f t="shared" si="118"/>
        <v>20</v>
      </c>
      <c r="C817" t="str">
        <f t="shared" si="119"/>
        <v>2020/21</v>
      </c>
      <c r="E817" t="str">
        <f t="shared" si="120"/>
        <v/>
      </c>
      <c r="F817" t="s">
        <v>32</v>
      </c>
      <c r="G817" t="s">
        <v>30</v>
      </c>
      <c r="H817">
        <v>26656.98</v>
      </c>
      <c r="I817" t="str">
        <f>"Crossley Mill Nursery"</f>
        <v>Crossley Mill Nursery</v>
      </c>
      <c r="J817" t="str">
        <f t="shared" si="124"/>
        <v>3 Year Old Funding Other Committees Other Committees Of The Council Agency And Contracted Services Nursery Grant Funding Childrens Services Unit</v>
      </c>
    </row>
    <row r="818" spans="1:10" x14ac:dyDescent="0.35">
      <c r="A818" t="str">
        <f t="shared" si="123"/>
        <v>AUG</v>
      </c>
      <c r="B818" t="str">
        <f t="shared" si="118"/>
        <v>20</v>
      </c>
      <c r="C818" t="str">
        <f t="shared" si="119"/>
        <v>2020/21</v>
      </c>
      <c r="E818" t="str">
        <f t="shared" si="120"/>
        <v/>
      </c>
      <c r="F818" t="s">
        <v>32</v>
      </c>
      <c r="G818" t="s">
        <v>30</v>
      </c>
      <c r="H818">
        <v>28910.49</v>
      </c>
      <c r="I818" t="str">
        <f>"Eureka Nursery"</f>
        <v>Eureka Nursery</v>
      </c>
      <c r="J818" t="str">
        <f t="shared" si="124"/>
        <v>3 Year Old Funding Other Committees Other Committees Of The Council Agency And Contracted Services Nursery Grant Funding Childrens Services Unit</v>
      </c>
    </row>
    <row r="819" spans="1:10" x14ac:dyDescent="0.35">
      <c r="A819" t="str">
        <f t="shared" si="123"/>
        <v>AUG</v>
      </c>
      <c r="B819" t="str">
        <f t="shared" si="118"/>
        <v>20</v>
      </c>
      <c r="C819" t="str">
        <f t="shared" si="119"/>
        <v>2020/21</v>
      </c>
      <c r="E819" t="str">
        <f t="shared" si="120"/>
        <v/>
      </c>
      <c r="F819" t="s">
        <v>32</v>
      </c>
      <c r="G819" t="s">
        <v>30</v>
      </c>
      <c r="H819">
        <v>21136.5</v>
      </c>
      <c r="I819" t="str">
        <f>"Halifax Opportunities Trust"</f>
        <v>Halifax Opportunities Trust</v>
      </c>
      <c r="J819" t="str">
        <f t="shared" si="124"/>
        <v>3 Year Old Funding Other Committees Other Committees Of The Council Agency And Contracted Services Nursery Grant Funding Childrens Services Unit</v>
      </c>
    </row>
    <row r="820" spans="1:10" x14ac:dyDescent="0.35">
      <c r="A820" t="str">
        <f t="shared" si="123"/>
        <v>AUG</v>
      </c>
      <c r="B820" t="str">
        <f t="shared" si="118"/>
        <v>20</v>
      </c>
      <c r="C820" t="str">
        <f t="shared" si="119"/>
        <v>2020/21</v>
      </c>
      <c r="E820" t="str">
        <f t="shared" si="120"/>
        <v/>
      </c>
      <c r="F820" t="s">
        <v>32</v>
      </c>
      <c r="G820" t="s">
        <v>30</v>
      </c>
      <c r="H820">
        <v>63630.84</v>
      </c>
      <c r="I820" t="str">
        <f>"Innovations Children's Centre"</f>
        <v>Innovations Children's Centre</v>
      </c>
      <c r="J820" t="str">
        <f t="shared" si="124"/>
        <v>3 Year Old Funding Other Committees Other Committees Of The Council Agency And Contracted Services Nursery Grant Funding Childrens Services Unit</v>
      </c>
    </row>
    <row r="821" spans="1:10" x14ac:dyDescent="0.35">
      <c r="A821" t="str">
        <f t="shared" si="123"/>
        <v>AUG</v>
      </c>
      <c r="B821" t="str">
        <f t="shared" si="118"/>
        <v>20</v>
      </c>
      <c r="C821" t="str">
        <f t="shared" si="119"/>
        <v>2020/21</v>
      </c>
      <c r="E821" t="str">
        <f t="shared" si="120"/>
        <v/>
      </c>
      <c r="F821" t="s">
        <v>32</v>
      </c>
      <c r="G821" t="s">
        <v>30</v>
      </c>
      <c r="H821">
        <v>32983.230000000003</v>
      </c>
      <c r="I821" t="str">
        <f>"Jubilee Children's Centre"</f>
        <v>Jubilee Children's Centre</v>
      </c>
      <c r="J821" t="str">
        <f t="shared" si="124"/>
        <v>3 Year Old Funding Other Committees Other Committees Of The Council Agency And Contracted Services Nursery Grant Funding Childrens Services Unit</v>
      </c>
    </row>
    <row r="822" spans="1:10" x14ac:dyDescent="0.35">
      <c r="A822" t="str">
        <f t="shared" si="123"/>
        <v>AUG</v>
      </c>
      <c r="B822" t="str">
        <f t="shared" si="118"/>
        <v>20</v>
      </c>
      <c r="C822" t="str">
        <f t="shared" si="119"/>
        <v>2020/21</v>
      </c>
      <c r="E822" t="str">
        <f t="shared" si="120"/>
        <v/>
      </c>
      <c r="F822" t="s">
        <v>32</v>
      </c>
      <c r="G822" t="s">
        <v>30</v>
      </c>
      <c r="H822">
        <v>42134.400000000001</v>
      </c>
      <c r="I822" t="str">
        <f>"Ash Green Childrens Centre"</f>
        <v>Ash Green Childrens Centre</v>
      </c>
      <c r="J822" t="str">
        <f t="shared" si="124"/>
        <v>3 Year Old Funding Other Committees Other Committees Of The Council Agency And Contracted Services Nursery Grant Funding Childrens Services Unit</v>
      </c>
    </row>
    <row r="823" spans="1:10" x14ac:dyDescent="0.35">
      <c r="A823" t="str">
        <f t="shared" si="123"/>
        <v>AUG</v>
      </c>
      <c r="B823" t="str">
        <f t="shared" si="118"/>
        <v>20</v>
      </c>
      <c r="C823" t="str">
        <f t="shared" si="119"/>
        <v>2020/21</v>
      </c>
      <c r="E823" t="str">
        <f t="shared" si="120"/>
        <v/>
      </c>
      <c r="F823" t="s">
        <v>32</v>
      </c>
      <c r="G823" t="s">
        <v>30</v>
      </c>
      <c r="H823">
        <v>46010.16</v>
      </c>
      <c r="I823" t="str">
        <f>"Kevin Pearce Childrens Centre"</f>
        <v>Kevin Pearce Childrens Centre</v>
      </c>
      <c r="J823" t="str">
        <f t="shared" si="124"/>
        <v>3 Year Old Funding Other Committees Other Committees Of The Council Agency And Contracted Services Nursery Grant Funding Childrens Services Unit</v>
      </c>
    </row>
    <row r="824" spans="1:10" x14ac:dyDescent="0.35">
      <c r="A824" t="str">
        <f t="shared" si="123"/>
        <v>AUG</v>
      </c>
      <c r="B824" t="str">
        <f t="shared" si="118"/>
        <v>20</v>
      </c>
      <c r="C824" t="str">
        <f t="shared" si="119"/>
        <v>2020/21</v>
      </c>
      <c r="E824" t="str">
        <f t="shared" si="120"/>
        <v/>
      </c>
      <c r="F824" t="s">
        <v>32</v>
      </c>
      <c r="G824" t="s">
        <v>30</v>
      </c>
      <c r="H824">
        <v>14496.3</v>
      </c>
      <c r="I824" t="str">
        <f>"St Augustines Centre"</f>
        <v>St Augustines Centre</v>
      </c>
      <c r="J824" t="str">
        <f t="shared" si="124"/>
        <v>3 Year Old Funding Other Committees Other Committees Of The Council Agency And Contracted Services Nursery Grant Funding Childrens Services Unit</v>
      </c>
    </row>
    <row r="825" spans="1:10" x14ac:dyDescent="0.35">
      <c r="A825" t="str">
        <f t="shared" si="123"/>
        <v>AUG</v>
      </c>
      <c r="B825" t="str">
        <f t="shared" si="118"/>
        <v>20</v>
      </c>
      <c r="C825" t="str">
        <f t="shared" si="119"/>
        <v>2020/21</v>
      </c>
      <c r="E825" t="str">
        <f t="shared" si="120"/>
        <v/>
      </c>
      <c r="F825" t="s">
        <v>32</v>
      </c>
      <c r="G825" t="s">
        <v>30</v>
      </c>
      <c r="H825">
        <v>6666.66</v>
      </c>
      <c r="I825" t="str">
        <f>"Sowood Preschool &amp; Community Association"</f>
        <v>Sowood Preschool &amp; Community Association</v>
      </c>
      <c r="J825" t="str">
        <f t="shared" si="124"/>
        <v>3 Year Old Funding Other Committees Other Committees Of The Council Agency And Contracted Services Nursery Grant Funding Childrens Services Unit</v>
      </c>
    </row>
    <row r="826" spans="1:10" x14ac:dyDescent="0.35">
      <c r="A826" t="str">
        <f t="shared" si="123"/>
        <v>AUG</v>
      </c>
      <c r="B826" t="str">
        <f t="shared" si="118"/>
        <v>20</v>
      </c>
      <c r="C826" t="str">
        <f t="shared" si="119"/>
        <v>2020/21</v>
      </c>
      <c r="E826" t="str">
        <f t="shared" si="120"/>
        <v/>
      </c>
      <c r="F826" t="s">
        <v>32</v>
      </c>
      <c r="G826" t="s">
        <v>30</v>
      </c>
      <c r="H826">
        <v>25076.52</v>
      </c>
      <c r="I826" t="str">
        <f>"Siddal Children's Centre"</f>
        <v>Siddal Children's Centre</v>
      </c>
      <c r="J826" t="str">
        <f t="shared" si="124"/>
        <v>3 Year Old Funding Other Committees Other Committees Of The Council Agency And Contracted Services Nursery Grant Funding Childrens Services Unit</v>
      </c>
    </row>
    <row r="827" spans="1:10" x14ac:dyDescent="0.35">
      <c r="A827" t="str">
        <f t="shared" si="123"/>
        <v>AUG</v>
      </c>
      <c r="B827" t="str">
        <f t="shared" si="118"/>
        <v>20</v>
      </c>
      <c r="C827" t="str">
        <f t="shared" si="119"/>
        <v>2020/21</v>
      </c>
      <c r="E827" t="str">
        <f t="shared" si="120"/>
        <v/>
      </c>
      <c r="F827" t="s">
        <v>32</v>
      </c>
      <c r="G827" t="s">
        <v>30</v>
      </c>
      <c r="H827">
        <v>12613.86</v>
      </c>
      <c r="I827" t="str">
        <f>"Sticky Fingers Playgroup"</f>
        <v>Sticky Fingers Playgroup</v>
      </c>
      <c r="J827" t="str">
        <f t="shared" si="124"/>
        <v>3 Year Old Funding Other Committees Other Committees Of The Council Agency And Contracted Services Nursery Grant Funding Childrens Services Unit</v>
      </c>
    </row>
    <row r="828" spans="1:10" x14ac:dyDescent="0.35">
      <c r="A828" t="str">
        <f t="shared" si="123"/>
        <v>AUG</v>
      </c>
      <c r="B828" t="str">
        <f t="shared" si="118"/>
        <v>20</v>
      </c>
      <c r="C828" t="str">
        <f t="shared" si="119"/>
        <v>2020/21</v>
      </c>
      <c r="E828" t="str">
        <f t="shared" si="120"/>
        <v/>
      </c>
      <c r="F828" t="s">
        <v>32</v>
      </c>
      <c r="G828" t="s">
        <v>30</v>
      </c>
      <c r="H828">
        <v>22094.1</v>
      </c>
      <c r="I828" t="str">
        <f>"Todmorden Children's Centre"</f>
        <v>Todmorden Children's Centre</v>
      </c>
      <c r="J828" t="str">
        <f t="shared" si="124"/>
        <v>3 Year Old Funding Other Committees Other Committees Of The Council Agency And Contracted Services Nursery Grant Funding Childrens Services Unit</v>
      </c>
    </row>
    <row r="829" spans="1:10" x14ac:dyDescent="0.35">
      <c r="A829" t="str">
        <f t="shared" si="123"/>
        <v>AUG</v>
      </c>
      <c r="B829" t="str">
        <f t="shared" si="118"/>
        <v>20</v>
      </c>
      <c r="C829" t="str">
        <f t="shared" si="119"/>
        <v>2020/21</v>
      </c>
      <c r="E829" t="str">
        <f t="shared" si="120"/>
        <v/>
      </c>
      <c r="F829" t="s">
        <v>32</v>
      </c>
      <c r="G829" t="s">
        <v>30</v>
      </c>
      <c r="H829">
        <v>2121</v>
      </c>
      <c r="I829" t="str">
        <f>"Hopscotch Tuel Lane Ltd"</f>
        <v>Hopscotch Tuel Lane Ltd</v>
      </c>
      <c r="J829" t="str">
        <f t="shared" si="124"/>
        <v>3 Year Old Funding Other Committees Other Committees Of The Council Agency And Contracted Services Nursery Grant Funding Childrens Services Unit</v>
      </c>
    </row>
    <row r="830" spans="1:10" x14ac:dyDescent="0.35">
      <c r="A830" t="str">
        <f t="shared" si="123"/>
        <v>AUG</v>
      </c>
      <c r="B830" t="str">
        <f t="shared" si="118"/>
        <v>20</v>
      </c>
      <c r="C830" t="str">
        <f t="shared" si="119"/>
        <v>2020/21</v>
      </c>
      <c r="E830" t="str">
        <f t="shared" si="120"/>
        <v/>
      </c>
      <c r="F830" t="s">
        <v>32</v>
      </c>
      <c r="G830" t="s">
        <v>30</v>
      </c>
      <c r="H830">
        <v>40697.58</v>
      </c>
      <c r="I830" t="str">
        <f>"Wellholme Children's Centre"</f>
        <v>Wellholme Children's Centre</v>
      </c>
      <c r="J830" t="str">
        <f t="shared" si="124"/>
        <v>3 Year Old Funding Other Committees Other Committees Of The Council Agency And Contracted Services Nursery Grant Funding Childrens Services Unit</v>
      </c>
    </row>
    <row r="831" spans="1:10" x14ac:dyDescent="0.35">
      <c r="A831" t="str">
        <f t="shared" si="123"/>
        <v>AUG</v>
      </c>
      <c r="B831" t="str">
        <f t="shared" si="118"/>
        <v>20</v>
      </c>
      <c r="C831" t="str">
        <f t="shared" si="119"/>
        <v>2020/21</v>
      </c>
      <c r="D831" t="str">
        <f>"SC PF 215529"</f>
        <v>SC PF 215529</v>
      </c>
      <c r="E831" t="str">
        <f t="shared" si="120"/>
        <v>SC</v>
      </c>
      <c r="F831" t="s">
        <v>33</v>
      </c>
      <c r="G831" t="s">
        <v>30</v>
      </c>
      <c r="H831">
        <v>3244.46</v>
      </c>
      <c r="I831" t="str">
        <f>"The Childrens Family Trust"</f>
        <v>The Childrens Family Trust</v>
      </c>
      <c r="J831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832" spans="1:10" x14ac:dyDescent="0.35">
      <c r="A832" t="str">
        <f t="shared" si="123"/>
        <v>AUG</v>
      </c>
      <c r="B832" t="str">
        <f t="shared" si="118"/>
        <v>20</v>
      </c>
      <c r="C832" t="str">
        <f t="shared" si="119"/>
        <v>2020/21</v>
      </c>
      <c r="D832" t="str">
        <f>"SC PF 215529"</f>
        <v>SC PF 215529</v>
      </c>
      <c r="E832" t="str">
        <f t="shared" si="120"/>
        <v>SC</v>
      </c>
      <c r="F832" t="s">
        <v>33</v>
      </c>
      <c r="G832" t="s">
        <v>30</v>
      </c>
      <c r="H832">
        <v>3244.46</v>
      </c>
      <c r="I832" t="str">
        <f>"The Childrens Family Trust"</f>
        <v>The Childrens Family Trust</v>
      </c>
      <c r="J832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833" spans="1:10" x14ac:dyDescent="0.35">
      <c r="A833" t="str">
        <f t="shared" si="123"/>
        <v>AUG</v>
      </c>
      <c r="B833" t="str">
        <f t="shared" si="118"/>
        <v>20</v>
      </c>
      <c r="C833" t="str">
        <f t="shared" si="119"/>
        <v>2020/21</v>
      </c>
      <c r="D833" t="str">
        <f>"SS PJ 115201"</f>
        <v>SS PJ 115201</v>
      </c>
      <c r="E833" t="str">
        <f t="shared" si="120"/>
        <v>SS</v>
      </c>
      <c r="F833" t="s">
        <v>25</v>
      </c>
      <c r="G833" t="s">
        <v>22</v>
      </c>
      <c r="H833">
        <v>150</v>
      </c>
      <c r="I833" t="str">
        <f>"Project Colt"</f>
        <v>Project Colt</v>
      </c>
      <c r="J833" t="str">
        <f>"Bearders Trust Payments Miscellaneous Expenses Supplies And Services Operational Management (Prevention And Early Help) Adult Health &amp; Social Ca"</f>
        <v>Bearders Trust Payments Miscellaneous Expenses Supplies And Services Operational Management (Prevention And Early Help) Adult Health &amp; Social Ca</v>
      </c>
    </row>
    <row r="834" spans="1:10" x14ac:dyDescent="0.35">
      <c r="A834" t="str">
        <f t="shared" si="123"/>
        <v>AUG</v>
      </c>
      <c r="B834" t="str">
        <f t="shared" ref="B834:B897" si="125">"20"</f>
        <v>20</v>
      </c>
      <c r="C834" t="str">
        <f t="shared" ref="C834:C897" si="126">"2020/21"</f>
        <v>2020/21</v>
      </c>
      <c r="D834" t="str">
        <f>"SS PJ 115258"</f>
        <v>SS PJ 115258</v>
      </c>
      <c r="E834" t="str">
        <f t="shared" ref="E834:E897" si="127">LEFT(D834,2)</f>
        <v>SS</v>
      </c>
      <c r="F834" t="s">
        <v>25</v>
      </c>
      <c r="G834" t="s">
        <v>22</v>
      </c>
      <c r="H834">
        <v>85</v>
      </c>
      <c r="I834" t="str">
        <f>"Project Colt"</f>
        <v>Project Colt</v>
      </c>
      <c r="J834" t="str">
        <f>"Bearders Trust Payments Miscellaneous Expenses Supplies And Services Operational Management (Prevention And Early Help) Adult Health &amp; Social Ca"</f>
        <v>Bearders Trust Payments Miscellaneous Expenses Supplies And Services Operational Management (Prevention And Early Help) Adult Health &amp; Social Ca</v>
      </c>
    </row>
    <row r="835" spans="1:10" x14ac:dyDescent="0.35">
      <c r="A835" t="str">
        <f t="shared" si="123"/>
        <v>AUG</v>
      </c>
      <c r="B835" t="str">
        <f t="shared" si="125"/>
        <v>20</v>
      </c>
      <c r="C835" t="str">
        <f t="shared" si="126"/>
        <v>2020/21</v>
      </c>
      <c r="D835" t="str">
        <f>"SS SL 114110"</f>
        <v>SS SL 114110</v>
      </c>
      <c r="E835" t="str">
        <f t="shared" si="127"/>
        <v>SS</v>
      </c>
      <c r="F835" t="s">
        <v>25</v>
      </c>
      <c r="G835" t="s">
        <v>22</v>
      </c>
      <c r="H835">
        <v>2213.48</v>
      </c>
      <c r="I835" t="str">
        <f>"Turning Point Scotland Services"</f>
        <v>Turning Point Scotland Services</v>
      </c>
      <c r="J835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836" spans="1:10" x14ac:dyDescent="0.35">
      <c r="A836" t="str">
        <f t="shared" si="123"/>
        <v>AUG</v>
      </c>
      <c r="B836" t="str">
        <f t="shared" si="125"/>
        <v>20</v>
      </c>
      <c r="C836" t="str">
        <f t="shared" si="126"/>
        <v>2020/21</v>
      </c>
      <c r="D836" t="str">
        <f>"SS SL 114110"</f>
        <v>SS SL 114110</v>
      </c>
      <c r="E836" t="str">
        <f t="shared" si="127"/>
        <v>SS</v>
      </c>
      <c r="F836" t="s">
        <v>25</v>
      </c>
      <c r="G836" t="s">
        <v>22</v>
      </c>
      <c r="H836">
        <v>2213.48</v>
      </c>
      <c r="I836" t="str">
        <f>"Turning Point Scotland Services"</f>
        <v>Turning Point Scotland Services</v>
      </c>
      <c r="J836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837" spans="1:10" x14ac:dyDescent="0.35">
      <c r="A837" t="str">
        <f t="shared" si="123"/>
        <v>AUG</v>
      </c>
      <c r="B837" t="str">
        <f t="shared" si="125"/>
        <v>20</v>
      </c>
      <c r="C837" t="str">
        <f t="shared" si="126"/>
        <v>2020/21</v>
      </c>
      <c r="D837" t="str">
        <f t="shared" ref="D837:D843" si="128">"SS SL 114846"</f>
        <v>SS SL 114846</v>
      </c>
      <c r="E837" t="str">
        <f t="shared" si="127"/>
        <v>SS</v>
      </c>
      <c r="F837" t="s">
        <v>25</v>
      </c>
      <c r="G837" t="s">
        <v>22</v>
      </c>
      <c r="H837">
        <v>2556.4</v>
      </c>
      <c r="I837" t="str">
        <f t="shared" ref="I837:I843" si="129">"The Mayfield Trust"</f>
        <v>The Mayfield Trust</v>
      </c>
      <c r="J837" t="str">
        <f t="shared" ref="J837:J843" si="130"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838" spans="1:10" x14ac:dyDescent="0.35">
      <c r="A838" t="str">
        <f t="shared" si="123"/>
        <v>AUG</v>
      </c>
      <c r="B838" t="str">
        <f t="shared" si="125"/>
        <v>20</v>
      </c>
      <c r="C838" t="str">
        <f t="shared" si="126"/>
        <v>2020/21</v>
      </c>
      <c r="D838" t="str">
        <f t="shared" si="128"/>
        <v>SS SL 114846</v>
      </c>
      <c r="E838" t="str">
        <f t="shared" si="127"/>
        <v>SS</v>
      </c>
      <c r="F838" t="s">
        <v>25</v>
      </c>
      <c r="G838" t="s">
        <v>22</v>
      </c>
      <c r="H838">
        <v>1826</v>
      </c>
      <c r="I838" t="str">
        <f t="shared" si="129"/>
        <v>The Mayfield Trust</v>
      </c>
      <c r="J838" t="str">
        <f t="shared" si="130"/>
        <v>Pye Nest Road (Mayfield Trust) Private Contractors Agency And Contracted Services Supported Living Adult Health &amp; Social Care</v>
      </c>
    </row>
    <row r="839" spans="1:10" x14ac:dyDescent="0.35">
      <c r="A839" t="str">
        <f t="shared" ref="A839:A870" si="131">"AUG"</f>
        <v>AUG</v>
      </c>
      <c r="B839" t="str">
        <f t="shared" si="125"/>
        <v>20</v>
      </c>
      <c r="C839" t="str">
        <f t="shared" si="126"/>
        <v>2020/21</v>
      </c>
      <c r="D839" t="str">
        <f t="shared" si="128"/>
        <v>SS SL 114846</v>
      </c>
      <c r="E839" t="str">
        <f t="shared" si="127"/>
        <v>SS</v>
      </c>
      <c r="F839" t="s">
        <v>25</v>
      </c>
      <c r="G839" t="s">
        <v>22</v>
      </c>
      <c r="H839">
        <v>2656</v>
      </c>
      <c r="I839" t="str">
        <f t="shared" si="129"/>
        <v>The Mayfield Trust</v>
      </c>
      <c r="J839" t="str">
        <f t="shared" si="130"/>
        <v>Pye Nest Road (Mayfield Trust) Private Contractors Agency And Contracted Services Supported Living Adult Health &amp; Social Care</v>
      </c>
    </row>
    <row r="840" spans="1:10" x14ac:dyDescent="0.35">
      <c r="A840" t="str">
        <f t="shared" si="131"/>
        <v>AUG</v>
      </c>
      <c r="B840" t="str">
        <f t="shared" si="125"/>
        <v>20</v>
      </c>
      <c r="C840" t="str">
        <f t="shared" si="126"/>
        <v>2020/21</v>
      </c>
      <c r="D840" t="str">
        <f t="shared" si="128"/>
        <v>SS SL 114846</v>
      </c>
      <c r="E840" t="str">
        <f t="shared" si="127"/>
        <v>SS</v>
      </c>
      <c r="F840" t="s">
        <v>25</v>
      </c>
      <c r="G840" t="s">
        <v>22</v>
      </c>
      <c r="H840">
        <v>2921.6</v>
      </c>
      <c r="I840" t="str">
        <f t="shared" si="129"/>
        <v>The Mayfield Trust</v>
      </c>
      <c r="J840" t="str">
        <f t="shared" si="130"/>
        <v>Pye Nest Road (Mayfield Trust) Private Contractors Agency And Contracted Services Supported Living Adult Health &amp; Social Care</v>
      </c>
    </row>
    <row r="841" spans="1:10" x14ac:dyDescent="0.35">
      <c r="A841" t="str">
        <f t="shared" si="131"/>
        <v>AUG</v>
      </c>
      <c r="B841" t="str">
        <f t="shared" si="125"/>
        <v>20</v>
      </c>
      <c r="C841" t="str">
        <f t="shared" si="126"/>
        <v>2020/21</v>
      </c>
      <c r="D841" t="str">
        <f t="shared" si="128"/>
        <v>SS SL 114846</v>
      </c>
      <c r="E841" t="str">
        <f t="shared" si="127"/>
        <v>SS</v>
      </c>
      <c r="F841" t="s">
        <v>25</v>
      </c>
      <c r="G841" t="s">
        <v>22</v>
      </c>
      <c r="H841">
        <v>2622.8</v>
      </c>
      <c r="I841" t="str">
        <f t="shared" si="129"/>
        <v>The Mayfield Trust</v>
      </c>
      <c r="J841" t="str">
        <f t="shared" si="130"/>
        <v>Pye Nest Road (Mayfield Trust) Private Contractors Agency And Contracted Services Supported Living Adult Health &amp; Social Care</v>
      </c>
    </row>
    <row r="842" spans="1:10" x14ac:dyDescent="0.35">
      <c r="A842" t="str">
        <f t="shared" si="131"/>
        <v>AUG</v>
      </c>
      <c r="B842" t="str">
        <f t="shared" si="125"/>
        <v>20</v>
      </c>
      <c r="C842" t="str">
        <f t="shared" si="126"/>
        <v>2020/21</v>
      </c>
      <c r="D842" t="str">
        <f t="shared" si="128"/>
        <v>SS SL 114846</v>
      </c>
      <c r="E842" t="str">
        <f t="shared" si="127"/>
        <v>SS</v>
      </c>
      <c r="F842" t="s">
        <v>25</v>
      </c>
      <c r="G842" t="s">
        <v>22</v>
      </c>
      <c r="H842">
        <v>2284.8000000000002</v>
      </c>
      <c r="I842" t="str">
        <f t="shared" si="129"/>
        <v>The Mayfield Trust</v>
      </c>
      <c r="J842" t="str">
        <f t="shared" si="130"/>
        <v>Pye Nest Road (Mayfield Trust) Private Contractors Agency And Contracted Services Supported Living Adult Health &amp; Social Care</v>
      </c>
    </row>
    <row r="843" spans="1:10" x14ac:dyDescent="0.35">
      <c r="A843" t="str">
        <f t="shared" si="131"/>
        <v>AUG</v>
      </c>
      <c r="B843" t="str">
        <f t="shared" si="125"/>
        <v>20</v>
      </c>
      <c r="C843" t="str">
        <f t="shared" si="126"/>
        <v>2020/21</v>
      </c>
      <c r="D843" t="str">
        <f t="shared" si="128"/>
        <v>SS SL 114846</v>
      </c>
      <c r="E843" t="str">
        <f t="shared" si="127"/>
        <v>SS</v>
      </c>
      <c r="F843" t="s">
        <v>25</v>
      </c>
      <c r="G843" t="s">
        <v>22</v>
      </c>
      <c r="H843">
        <v>2921.6</v>
      </c>
      <c r="I843" t="str">
        <f t="shared" si="129"/>
        <v>The Mayfield Trust</v>
      </c>
      <c r="J843" t="str">
        <f t="shared" si="130"/>
        <v>Pye Nest Road (Mayfield Trust) Private Contractors Agency And Contracted Services Supported Living Adult Health &amp; Social Care</v>
      </c>
    </row>
    <row r="844" spans="1:10" x14ac:dyDescent="0.35">
      <c r="A844" t="str">
        <f t="shared" si="131"/>
        <v>AUG</v>
      </c>
      <c r="B844" t="str">
        <f t="shared" si="125"/>
        <v>20</v>
      </c>
      <c r="C844" t="str">
        <f t="shared" si="126"/>
        <v>2020/21</v>
      </c>
      <c r="D844" t="str">
        <f t="shared" ref="D844:D851" si="132">"SS SL 114881"</f>
        <v>SS SL 114881</v>
      </c>
      <c r="E844" t="str">
        <f t="shared" si="127"/>
        <v>SS</v>
      </c>
      <c r="F844" t="s">
        <v>25</v>
      </c>
      <c r="G844" t="s">
        <v>22</v>
      </c>
      <c r="H844">
        <v>929.6</v>
      </c>
      <c r="I844" t="str">
        <f t="shared" ref="I844:I856" si="133">"Creative Support Ltd"</f>
        <v>Creative Support Ltd</v>
      </c>
      <c r="J844" t="str">
        <f t="shared" ref="J844:J851" si="134"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845" spans="1:10" x14ac:dyDescent="0.35">
      <c r="A845" t="str">
        <f t="shared" si="131"/>
        <v>AUG</v>
      </c>
      <c r="B845" t="str">
        <f t="shared" si="125"/>
        <v>20</v>
      </c>
      <c r="C845" t="str">
        <f t="shared" si="126"/>
        <v>2020/21</v>
      </c>
      <c r="D845" t="str">
        <f t="shared" si="132"/>
        <v>SS SL 114881</v>
      </c>
      <c r="E845" t="str">
        <f t="shared" si="127"/>
        <v>SS</v>
      </c>
      <c r="F845" t="s">
        <v>25</v>
      </c>
      <c r="G845" t="s">
        <v>22</v>
      </c>
      <c r="H845">
        <v>929.6</v>
      </c>
      <c r="I845" t="str">
        <f t="shared" si="133"/>
        <v>Creative Support Ltd</v>
      </c>
      <c r="J845" t="str">
        <f t="shared" si="134"/>
        <v>92 Highfield Road (Creative Support) Private Contractors Agency And Contracted Services Supported Living Adult Health &amp; Social Care</v>
      </c>
    </row>
    <row r="846" spans="1:10" x14ac:dyDescent="0.35">
      <c r="A846" t="str">
        <f t="shared" si="131"/>
        <v>AUG</v>
      </c>
      <c r="B846" t="str">
        <f t="shared" si="125"/>
        <v>20</v>
      </c>
      <c r="C846" t="str">
        <f t="shared" si="126"/>
        <v>2020/21</v>
      </c>
      <c r="D846" t="str">
        <f t="shared" si="132"/>
        <v>SS SL 114881</v>
      </c>
      <c r="E846" t="str">
        <f t="shared" si="127"/>
        <v>SS</v>
      </c>
      <c r="F846" t="s">
        <v>25</v>
      </c>
      <c r="G846" t="s">
        <v>22</v>
      </c>
      <c r="H846">
        <v>929.6</v>
      </c>
      <c r="I846" t="str">
        <f t="shared" si="133"/>
        <v>Creative Support Ltd</v>
      </c>
      <c r="J846" t="str">
        <f t="shared" si="134"/>
        <v>92 Highfield Road (Creative Support) Private Contractors Agency And Contracted Services Supported Living Adult Health &amp; Social Care</v>
      </c>
    </row>
    <row r="847" spans="1:10" x14ac:dyDescent="0.35">
      <c r="A847" t="str">
        <f t="shared" si="131"/>
        <v>AUG</v>
      </c>
      <c r="B847" t="str">
        <f t="shared" si="125"/>
        <v>20</v>
      </c>
      <c r="C847" t="str">
        <f t="shared" si="126"/>
        <v>2020/21</v>
      </c>
      <c r="D847" t="str">
        <f t="shared" si="132"/>
        <v>SS SL 114881</v>
      </c>
      <c r="E847" t="str">
        <f t="shared" si="127"/>
        <v>SS</v>
      </c>
      <c r="F847" t="s">
        <v>25</v>
      </c>
      <c r="G847" t="s">
        <v>22</v>
      </c>
      <c r="H847">
        <v>3452.8</v>
      </c>
      <c r="I847" t="str">
        <f t="shared" si="133"/>
        <v>Creative Support Ltd</v>
      </c>
      <c r="J847" t="str">
        <f t="shared" si="134"/>
        <v>92 Highfield Road (Creative Support) Private Contractors Agency And Contracted Services Supported Living Adult Health &amp; Social Care</v>
      </c>
    </row>
    <row r="848" spans="1:10" x14ac:dyDescent="0.35">
      <c r="A848" t="str">
        <f t="shared" si="131"/>
        <v>AUG</v>
      </c>
      <c r="B848" t="str">
        <f t="shared" si="125"/>
        <v>20</v>
      </c>
      <c r="C848" t="str">
        <f t="shared" si="126"/>
        <v>2020/21</v>
      </c>
      <c r="D848" t="str">
        <f t="shared" si="132"/>
        <v>SS SL 114881</v>
      </c>
      <c r="E848" t="str">
        <f t="shared" si="127"/>
        <v>SS</v>
      </c>
      <c r="F848" t="s">
        <v>25</v>
      </c>
      <c r="G848" t="s">
        <v>22</v>
      </c>
      <c r="H848">
        <v>929.6</v>
      </c>
      <c r="I848" t="str">
        <f t="shared" si="133"/>
        <v>Creative Support Ltd</v>
      </c>
      <c r="J848" t="str">
        <f t="shared" si="134"/>
        <v>92 Highfield Road (Creative Support) Private Contractors Agency And Contracted Services Supported Living Adult Health &amp; Social Care</v>
      </c>
    </row>
    <row r="849" spans="1:10" x14ac:dyDescent="0.35">
      <c r="A849" t="str">
        <f t="shared" si="131"/>
        <v>AUG</v>
      </c>
      <c r="B849" t="str">
        <f t="shared" si="125"/>
        <v>20</v>
      </c>
      <c r="C849" t="str">
        <f t="shared" si="126"/>
        <v>2020/21</v>
      </c>
      <c r="D849" t="str">
        <f t="shared" si="132"/>
        <v>SS SL 114881</v>
      </c>
      <c r="E849" t="str">
        <f t="shared" si="127"/>
        <v>SS</v>
      </c>
      <c r="F849" t="s">
        <v>25</v>
      </c>
      <c r="G849" t="s">
        <v>22</v>
      </c>
      <c r="H849">
        <v>6208.4</v>
      </c>
      <c r="I849" t="str">
        <f t="shared" si="133"/>
        <v>Creative Support Ltd</v>
      </c>
      <c r="J849" t="str">
        <f t="shared" si="134"/>
        <v>92 Highfield Road (Creative Support) Private Contractors Agency And Contracted Services Supported Living Adult Health &amp; Social Care</v>
      </c>
    </row>
    <row r="850" spans="1:10" x14ac:dyDescent="0.35">
      <c r="A850" t="str">
        <f t="shared" si="131"/>
        <v>AUG</v>
      </c>
      <c r="B850" t="str">
        <f t="shared" si="125"/>
        <v>20</v>
      </c>
      <c r="C850" t="str">
        <f t="shared" si="126"/>
        <v>2020/21</v>
      </c>
      <c r="D850" t="str">
        <f t="shared" si="132"/>
        <v>SS SL 114881</v>
      </c>
      <c r="E850" t="str">
        <f t="shared" si="127"/>
        <v>SS</v>
      </c>
      <c r="F850" t="s">
        <v>25</v>
      </c>
      <c r="G850" t="s">
        <v>22</v>
      </c>
      <c r="H850">
        <v>3021.2</v>
      </c>
      <c r="I850" t="str">
        <f t="shared" si="133"/>
        <v>Creative Support Ltd</v>
      </c>
      <c r="J850" t="str">
        <f t="shared" si="134"/>
        <v>92 Highfield Road (Creative Support) Private Contractors Agency And Contracted Services Supported Living Adult Health &amp; Social Care</v>
      </c>
    </row>
    <row r="851" spans="1:10" x14ac:dyDescent="0.35">
      <c r="A851" t="str">
        <f t="shared" si="131"/>
        <v>AUG</v>
      </c>
      <c r="B851" t="str">
        <f t="shared" si="125"/>
        <v>20</v>
      </c>
      <c r="C851" t="str">
        <f t="shared" si="126"/>
        <v>2020/21</v>
      </c>
      <c r="D851" t="str">
        <f t="shared" si="132"/>
        <v>SS SL 114881</v>
      </c>
      <c r="E851" t="str">
        <f t="shared" si="127"/>
        <v>SS</v>
      </c>
      <c r="F851" t="s">
        <v>25</v>
      </c>
      <c r="G851" t="s">
        <v>22</v>
      </c>
      <c r="H851">
        <v>6772.8</v>
      </c>
      <c r="I851" t="str">
        <f t="shared" si="133"/>
        <v>Creative Support Ltd</v>
      </c>
      <c r="J851" t="str">
        <f t="shared" si="134"/>
        <v>92 Highfield Road (Creative Support) Private Contractors Agency And Contracted Services Supported Living Adult Health &amp; Social Care</v>
      </c>
    </row>
    <row r="852" spans="1:10" x14ac:dyDescent="0.35">
      <c r="A852" t="str">
        <f t="shared" si="131"/>
        <v>AUG</v>
      </c>
      <c r="B852" t="str">
        <f t="shared" si="125"/>
        <v>20</v>
      </c>
      <c r="C852" t="str">
        <f t="shared" si="126"/>
        <v>2020/21</v>
      </c>
      <c r="D852" t="str">
        <f>"SS SL 114893"</f>
        <v>SS SL 114893</v>
      </c>
      <c r="E852" t="str">
        <f t="shared" si="127"/>
        <v>SS</v>
      </c>
      <c r="F852" t="s">
        <v>25</v>
      </c>
      <c r="G852" t="s">
        <v>22</v>
      </c>
      <c r="H852">
        <v>3452.8</v>
      </c>
      <c r="I852" t="str">
        <f t="shared" si="133"/>
        <v>Creative Support Ltd</v>
      </c>
      <c r="J852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853" spans="1:10" x14ac:dyDescent="0.35">
      <c r="A853" t="str">
        <f t="shared" si="131"/>
        <v>AUG</v>
      </c>
      <c r="B853" t="str">
        <f t="shared" si="125"/>
        <v>20</v>
      </c>
      <c r="C853" t="str">
        <f t="shared" si="126"/>
        <v>2020/21</v>
      </c>
      <c r="D853" t="str">
        <f>"SS SL 114893"</f>
        <v>SS SL 114893</v>
      </c>
      <c r="E853" t="str">
        <f t="shared" si="127"/>
        <v>SS</v>
      </c>
      <c r="F853" t="s">
        <v>25</v>
      </c>
      <c r="G853" t="s">
        <v>22</v>
      </c>
      <c r="H853">
        <v>3984</v>
      </c>
      <c r="I853" t="str">
        <f t="shared" si="133"/>
        <v>Creative Support Ltd</v>
      </c>
      <c r="J853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854" spans="1:10" x14ac:dyDescent="0.35">
      <c r="A854" t="str">
        <f t="shared" si="131"/>
        <v>AUG</v>
      </c>
      <c r="B854" t="str">
        <f t="shared" si="125"/>
        <v>20</v>
      </c>
      <c r="C854" t="str">
        <f t="shared" si="126"/>
        <v>2020/21</v>
      </c>
      <c r="D854" t="str">
        <f>"SS SL 114893"</f>
        <v>SS SL 114893</v>
      </c>
      <c r="E854" t="str">
        <f t="shared" si="127"/>
        <v>SS</v>
      </c>
      <c r="F854" t="s">
        <v>25</v>
      </c>
      <c r="G854" t="s">
        <v>22</v>
      </c>
      <c r="H854">
        <v>2284.8000000000002</v>
      </c>
      <c r="I854" t="str">
        <f t="shared" si="133"/>
        <v>Creative Support Ltd</v>
      </c>
      <c r="J854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855" spans="1:10" x14ac:dyDescent="0.35">
      <c r="A855" t="str">
        <f t="shared" si="131"/>
        <v>AUG</v>
      </c>
      <c r="B855" t="str">
        <f t="shared" si="125"/>
        <v>20</v>
      </c>
      <c r="C855" t="str">
        <f t="shared" si="126"/>
        <v>2020/21</v>
      </c>
      <c r="D855" t="str">
        <f>"SS SL 114893"</f>
        <v>SS SL 114893</v>
      </c>
      <c r="E855" t="str">
        <f t="shared" si="127"/>
        <v>SS</v>
      </c>
      <c r="F855" t="s">
        <v>25</v>
      </c>
      <c r="G855" t="s">
        <v>22</v>
      </c>
      <c r="H855">
        <v>2191.1999999999998</v>
      </c>
      <c r="I855" t="str">
        <f t="shared" si="133"/>
        <v>Creative Support Ltd</v>
      </c>
      <c r="J855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856" spans="1:10" x14ac:dyDescent="0.35">
      <c r="A856" t="str">
        <f t="shared" si="131"/>
        <v>AUG</v>
      </c>
      <c r="B856" t="str">
        <f t="shared" si="125"/>
        <v>20</v>
      </c>
      <c r="C856" t="str">
        <f t="shared" si="126"/>
        <v>2020/21</v>
      </c>
      <c r="D856" t="str">
        <f>"SS SL 114893"</f>
        <v>SS SL 114893</v>
      </c>
      <c r="E856" t="str">
        <f t="shared" si="127"/>
        <v>SS</v>
      </c>
      <c r="F856" t="s">
        <v>25</v>
      </c>
      <c r="G856" t="s">
        <v>22</v>
      </c>
      <c r="H856">
        <v>2921.6</v>
      </c>
      <c r="I856" t="str">
        <f t="shared" si="133"/>
        <v>Creative Support Ltd</v>
      </c>
      <c r="J856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857" spans="1:10" x14ac:dyDescent="0.35">
      <c r="A857" t="str">
        <f t="shared" si="131"/>
        <v>AUG</v>
      </c>
      <c r="B857" t="str">
        <f t="shared" si="125"/>
        <v>20</v>
      </c>
      <c r="C857" t="str">
        <f t="shared" si="126"/>
        <v>2020/21</v>
      </c>
      <c r="D857" t="str">
        <f t="shared" ref="D857:D863" si="135">"SS SL 114847"</f>
        <v>SS SL 114847</v>
      </c>
      <c r="E857" t="str">
        <f t="shared" si="127"/>
        <v>SS</v>
      </c>
      <c r="F857" t="s">
        <v>25</v>
      </c>
      <c r="G857" t="s">
        <v>22</v>
      </c>
      <c r="H857">
        <v>6739.6</v>
      </c>
      <c r="I857" t="str">
        <f t="shared" ref="I857:I863" si="136">"The Mayfield Trust"</f>
        <v>The Mayfield Trust</v>
      </c>
      <c r="J857" t="str">
        <f t="shared" ref="J857:J863" si="137"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858" spans="1:10" x14ac:dyDescent="0.35">
      <c r="A858" t="str">
        <f t="shared" si="131"/>
        <v>AUG</v>
      </c>
      <c r="B858" t="str">
        <f t="shared" si="125"/>
        <v>20</v>
      </c>
      <c r="C858" t="str">
        <f t="shared" si="126"/>
        <v>2020/21</v>
      </c>
      <c r="D858" t="str">
        <f t="shared" si="135"/>
        <v>SS SL 114847</v>
      </c>
      <c r="E858" t="str">
        <f t="shared" si="127"/>
        <v>SS</v>
      </c>
      <c r="F858" t="s">
        <v>25</v>
      </c>
      <c r="G858" t="s">
        <v>22</v>
      </c>
      <c r="H858">
        <v>2390.4</v>
      </c>
      <c r="I858" t="str">
        <f t="shared" si="136"/>
        <v>The Mayfield Trust</v>
      </c>
      <c r="J858" t="str">
        <f t="shared" si="137"/>
        <v>Dalecroft (Mayfield Trust) Private Contractors Agency And Contracted Services Supported Living Adult Health &amp; Social Care</v>
      </c>
    </row>
    <row r="859" spans="1:10" x14ac:dyDescent="0.35">
      <c r="A859" t="str">
        <f t="shared" si="131"/>
        <v>AUG</v>
      </c>
      <c r="B859" t="str">
        <f t="shared" si="125"/>
        <v>20</v>
      </c>
      <c r="C859" t="str">
        <f t="shared" si="126"/>
        <v>2020/21</v>
      </c>
      <c r="D859" t="str">
        <f t="shared" si="135"/>
        <v>SS SL 114847</v>
      </c>
      <c r="E859" t="str">
        <f t="shared" si="127"/>
        <v>SS</v>
      </c>
      <c r="F859" t="s">
        <v>25</v>
      </c>
      <c r="G859" t="s">
        <v>22</v>
      </c>
      <c r="H859">
        <v>2390.4</v>
      </c>
      <c r="I859" t="str">
        <f t="shared" si="136"/>
        <v>The Mayfield Trust</v>
      </c>
      <c r="J859" t="str">
        <f t="shared" si="137"/>
        <v>Dalecroft (Mayfield Trust) Private Contractors Agency And Contracted Services Supported Living Adult Health &amp; Social Care</v>
      </c>
    </row>
    <row r="860" spans="1:10" x14ac:dyDescent="0.35">
      <c r="A860" t="str">
        <f t="shared" si="131"/>
        <v>AUG</v>
      </c>
      <c r="B860" t="str">
        <f t="shared" si="125"/>
        <v>20</v>
      </c>
      <c r="C860" t="str">
        <f t="shared" si="126"/>
        <v>2020/21</v>
      </c>
      <c r="D860" t="str">
        <f t="shared" si="135"/>
        <v>SS SL 114847</v>
      </c>
      <c r="E860" t="str">
        <f t="shared" si="127"/>
        <v>SS</v>
      </c>
      <c r="F860" t="s">
        <v>25</v>
      </c>
      <c r="G860" t="s">
        <v>22</v>
      </c>
      <c r="H860">
        <v>2390.4</v>
      </c>
      <c r="I860" t="str">
        <f t="shared" si="136"/>
        <v>The Mayfield Trust</v>
      </c>
      <c r="J860" t="str">
        <f t="shared" si="137"/>
        <v>Dalecroft (Mayfield Trust) Private Contractors Agency And Contracted Services Supported Living Adult Health &amp; Social Care</v>
      </c>
    </row>
    <row r="861" spans="1:10" x14ac:dyDescent="0.35">
      <c r="A861" t="str">
        <f t="shared" si="131"/>
        <v>AUG</v>
      </c>
      <c r="B861" t="str">
        <f t="shared" si="125"/>
        <v>20</v>
      </c>
      <c r="C861" t="str">
        <f t="shared" si="126"/>
        <v>2020/21</v>
      </c>
      <c r="D861" t="str">
        <f t="shared" si="135"/>
        <v>SS SL 114847</v>
      </c>
      <c r="E861" t="str">
        <f t="shared" si="127"/>
        <v>SS</v>
      </c>
      <c r="F861" t="s">
        <v>25</v>
      </c>
      <c r="G861" t="s">
        <v>22</v>
      </c>
      <c r="H861">
        <v>3718.4</v>
      </c>
      <c r="I861" t="str">
        <f t="shared" si="136"/>
        <v>The Mayfield Trust</v>
      </c>
      <c r="J861" t="str">
        <f t="shared" si="137"/>
        <v>Dalecroft (Mayfield Trust) Private Contractors Agency And Contracted Services Supported Living Adult Health &amp; Social Care</v>
      </c>
    </row>
    <row r="862" spans="1:10" x14ac:dyDescent="0.35">
      <c r="A862" t="str">
        <f t="shared" si="131"/>
        <v>AUG</v>
      </c>
      <c r="B862" t="str">
        <f t="shared" si="125"/>
        <v>20</v>
      </c>
      <c r="C862" t="str">
        <f t="shared" si="126"/>
        <v>2020/21</v>
      </c>
      <c r="D862" t="str">
        <f t="shared" si="135"/>
        <v>SS SL 114847</v>
      </c>
      <c r="E862" t="str">
        <f t="shared" si="127"/>
        <v>SS</v>
      </c>
      <c r="F862" t="s">
        <v>25</v>
      </c>
      <c r="G862" t="s">
        <v>22</v>
      </c>
      <c r="H862">
        <v>2390.4</v>
      </c>
      <c r="I862" t="str">
        <f t="shared" si="136"/>
        <v>The Mayfield Trust</v>
      </c>
      <c r="J862" t="str">
        <f t="shared" si="137"/>
        <v>Dalecroft (Mayfield Trust) Private Contractors Agency And Contracted Services Supported Living Adult Health &amp; Social Care</v>
      </c>
    </row>
    <row r="863" spans="1:10" x14ac:dyDescent="0.35">
      <c r="A863" t="str">
        <f t="shared" si="131"/>
        <v>AUG</v>
      </c>
      <c r="B863" t="str">
        <f t="shared" si="125"/>
        <v>20</v>
      </c>
      <c r="C863" t="str">
        <f t="shared" si="126"/>
        <v>2020/21</v>
      </c>
      <c r="D863" t="str">
        <f t="shared" si="135"/>
        <v>SS SL 114847</v>
      </c>
      <c r="E863" t="str">
        <f t="shared" si="127"/>
        <v>SS</v>
      </c>
      <c r="F863" t="s">
        <v>25</v>
      </c>
      <c r="G863" t="s">
        <v>22</v>
      </c>
      <c r="H863">
        <v>2390.4</v>
      </c>
      <c r="I863" t="str">
        <f t="shared" si="136"/>
        <v>The Mayfield Trust</v>
      </c>
      <c r="J863" t="str">
        <f t="shared" si="137"/>
        <v>Dalecroft (Mayfield Trust) Private Contractors Agency And Contracted Services Supported Living Adult Health &amp; Social Care</v>
      </c>
    </row>
    <row r="864" spans="1:10" x14ac:dyDescent="0.35">
      <c r="A864" t="str">
        <f t="shared" si="131"/>
        <v>AUG</v>
      </c>
      <c r="B864" t="str">
        <f t="shared" si="125"/>
        <v>20</v>
      </c>
      <c r="C864" t="str">
        <f t="shared" si="126"/>
        <v>2020/21</v>
      </c>
      <c r="D864" t="str">
        <f>"SS SL 114891"</f>
        <v>SS SL 114891</v>
      </c>
      <c r="E864" t="str">
        <f t="shared" si="127"/>
        <v>SS</v>
      </c>
      <c r="F864" t="s">
        <v>25</v>
      </c>
      <c r="G864" t="s">
        <v>22</v>
      </c>
      <c r="H864">
        <v>4150</v>
      </c>
      <c r="I864" t="str">
        <f t="shared" ref="I864:I887" si="138">"Creative Support Ltd"</f>
        <v>Creative Support Ltd</v>
      </c>
      <c r="J864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865" spans="1:10" x14ac:dyDescent="0.35">
      <c r="A865" t="str">
        <f t="shared" si="131"/>
        <v>AUG</v>
      </c>
      <c r="B865" t="str">
        <f t="shared" si="125"/>
        <v>20</v>
      </c>
      <c r="C865" t="str">
        <f t="shared" si="126"/>
        <v>2020/21</v>
      </c>
      <c r="D865" t="str">
        <f>"SS SL 114891"</f>
        <v>SS SL 114891</v>
      </c>
      <c r="E865" t="str">
        <f t="shared" si="127"/>
        <v>SS</v>
      </c>
      <c r="F865" t="s">
        <v>25</v>
      </c>
      <c r="G865" t="s">
        <v>22</v>
      </c>
      <c r="H865">
        <v>2284.8000000000002</v>
      </c>
      <c r="I865" t="str">
        <f t="shared" si="138"/>
        <v>Creative Support Ltd</v>
      </c>
      <c r="J865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866" spans="1:10" x14ac:dyDescent="0.35">
      <c r="A866" t="str">
        <f t="shared" si="131"/>
        <v>AUG</v>
      </c>
      <c r="B866" t="str">
        <f t="shared" si="125"/>
        <v>20</v>
      </c>
      <c r="C866" t="str">
        <f t="shared" si="126"/>
        <v>2020/21</v>
      </c>
      <c r="D866" t="str">
        <f>"SS SL 114891"</f>
        <v>SS SL 114891</v>
      </c>
      <c r="E866" t="str">
        <f t="shared" si="127"/>
        <v>SS</v>
      </c>
      <c r="F866" t="s">
        <v>25</v>
      </c>
      <c r="G866" t="s">
        <v>22</v>
      </c>
      <c r="H866">
        <v>5345.2</v>
      </c>
      <c r="I866" t="str">
        <f t="shared" si="138"/>
        <v>Creative Support Ltd</v>
      </c>
      <c r="J866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867" spans="1:10" x14ac:dyDescent="0.35">
      <c r="A867" t="str">
        <f t="shared" si="131"/>
        <v>AUG</v>
      </c>
      <c r="B867" t="str">
        <f t="shared" si="125"/>
        <v>20</v>
      </c>
      <c r="C867" t="str">
        <f t="shared" si="126"/>
        <v>2020/21</v>
      </c>
      <c r="D867" t="str">
        <f t="shared" ref="D867:D872" si="139">"SS SL 114883"</f>
        <v>SS SL 114883</v>
      </c>
      <c r="E867" t="str">
        <f t="shared" si="127"/>
        <v>SS</v>
      </c>
      <c r="F867" t="s">
        <v>25</v>
      </c>
      <c r="G867" t="s">
        <v>22</v>
      </c>
      <c r="H867">
        <v>2988</v>
      </c>
      <c r="I867" t="str">
        <f t="shared" si="138"/>
        <v>Creative Support Ltd</v>
      </c>
      <c r="J867" t="str">
        <f t="shared" ref="J867:J872" si="140"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868" spans="1:10" x14ac:dyDescent="0.35">
      <c r="A868" t="str">
        <f t="shared" si="131"/>
        <v>AUG</v>
      </c>
      <c r="B868" t="str">
        <f t="shared" si="125"/>
        <v>20</v>
      </c>
      <c r="C868" t="str">
        <f t="shared" si="126"/>
        <v>2020/21</v>
      </c>
      <c r="D868" t="str">
        <f t="shared" si="139"/>
        <v>SS SL 114883</v>
      </c>
      <c r="E868" t="str">
        <f t="shared" si="127"/>
        <v>SS</v>
      </c>
      <c r="F868" t="s">
        <v>25</v>
      </c>
      <c r="G868" t="s">
        <v>22</v>
      </c>
      <c r="H868">
        <v>3154</v>
      </c>
      <c r="I868" t="str">
        <f t="shared" si="138"/>
        <v>Creative Support Ltd</v>
      </c>
      <c r="J868" t="str">
        <f t="shared" si="140"/>
        <v>Beech House (Creative Support) Private Contractors Agency And Contracted Services Supported Living Adult Health &amp; Social Care</v>
      </c>
    </row>
    <row r="869" spans="1:10" x14ac:dyDescent="0.35">
      <c r="A869" t="str">
        <f t="shared" si="131"/>
        <v>AUG</v>
      </c>
      <c r="B869" t="str">
        <f t="shared" si="125"/>
        <v>20</v>
      </c>
      <c r="C869" t="str">
        <f t="shared" si="126"/>
        <v>2020/21</v>
      </c>
      <c r="D869" t="str">
        <f t="shared" si="139"/>
        <v>SS SL 114883</v>
      </c>
      <c r="E869" t="str">
        <f t="shared" si="127"/>
        <v>SS</v>
      </c>
      <c r="F869" t="s">
        <v>25</v>
      </c>
      <c r="G869" t="s">
        <v>22</v>
      </c>
      <c r="H869">
        <v>2124.8000000000002</v>
      </c>
      <c r="I869" t="str">
        <f t="shared" si="138"/>
        <v>Creative Support Ltd</v>
      </c>
      <c r="J869" t="str">
        <f t="shared" si="140"/>
        <v>Beech House (Creative Support) Private Contractors Agency And Contracted Services Supported Living Adult Health &amp; Social Care</v>
      </c>
    </row>
    <row r="870" spans="1:10" x14ac:dyDescent="0.35">
      <c r="A870" t="str">
        <f t="shared" si="131"/>
        <v>AUG</v>
      </c>
      <c r="B870" t="str">
        <f t="shared" si="125"/>
        <v>20</v>
      </c>
      <c r="C870" t="str">
        <f t="shared" si="126"/>
        <v>2020/21</v>
      </c>
      <c r="D870" t="str">
        <f t="shared" si="139"/>
        <v>SS SL 114883</v>
      </c>
      <c r="E870" t="str">
        <f t="shared" si="127"/>
        <v>SS</v>
      </c>
      <c r="F870" t="s">
        <v>25</v>
      </c>
      <c r="G870" t="s">
        <v>22</v>
      </c>
      <c r="H870">
        <v>2284.8000000000002</v>
      </c>
      <c r="I870" t="str">
        <f t="shared" si="138"/>
        <v>Creative Support Ltd</v>
      </c>
      <c r="J870" t="str">
        <f t="shared" si="140"/>
        <v>Beech House (Creative Support) Private Contractors Agency And Contracted Services Supported Living Adult Health &amp; Social Care</v>
      </c>
    </row>
    <row r="871" spans="1:10" x14ac:dyDescent="0.35">
      <c r="A871" t="str">
        <f t="shared" ref="A871:A902" si="141">"AUG"</f>
        <v>AUG</v>
      </c>
      <c r="B871" t="str">
        <f t="shared" si="125"/>
        <v>20</v>
      </c>
      <c r="C871" t="str">
        <f t="shared" si="126"/>
        <v>2020/21</v>
      </c>
      <c r="D871" t="str">
        <f t="shared" si="139"/>
        <v>SS SL 114883</v>
      </c>
      <c r="E871" t="str">
        <f t="shared" si="127"/>
        <v>SS</v>
      </c>
      <c r="F871" t="s">
        <v>25</v>
      </c>
      <c r="G871" t="s">
        <v>22</v>
      </c>
      <c r="H871">
        <v>3851.2</v>
      </c>
      <c r="I871" t="str">
        <f t="shared" si="138"/>
        <v>Creative Support Ltd</v>
      </c>
      <c r="J871" t="str">
        <f t="shared" si="140"/>
        <v>Beech House (Creative Support) Private Contractors Agency And Contracted Services Supported Living Adult Health &amp; Social Care</v>
      </c>
    </row>
    <row r="872" spans="1:10" x14ac:dyDescent="0.35">
      <c r="A872" t="str">
        <f t="shared" si="141"/>
        <v>AUG</v>
      </c>
      <c r="B872" t="str">
        <f t="shared" si="125"/>
        <v>20</v>
      </c>
      <c r="C872" t="str">
        <f t="shared" si="126"/>
        <v>2020/21</v>
      </c>
      <c r="D872" t="str">
        <f t="shared" si="139"/>
        <v>SS SL 114883</v>
      </c>
      <c r="E872" t="str">
        <f t="shared" si="127"/>
        <v>SS</v>
      </c>
      <c r="F872" t="s">
        <v>25</v>
      </c>
      <c r="G872" t="s">
        <v>22</v>
      </c>
      <c r="H872">
        <v>1759.6</v>
      </c>
      <c r="I872" t="str">
        <f t="shared" si="138"/>
        <v>Creative Support Ltd</v>
      </c>
      <c r="J872" t="str">
        <f t="shared" si="140"/>
        <v>Beech House (Creative Support) Private Contractors Agency And Contracted Services Supported Living Adult Health &amp; Social Care</v>
      </c>
    </row>
    <row r="873" spans="1:10" x14ac:dyDescent="0.35">
      <c r="A873" t="str">
        <f t="shared" si="141"/>
        <v>AUG</v>
      </c>
      <c r="B873" t="str">
        <f t="shared" si="125"/>
        <v>20</v>
      </c>
      <c r="C873" t="str">
        <f t="shared" si="126"/>
        <v>2020/21</v>
      </c>
      <c r="D873" t="str">
        <f t="shared" ref="D873:D878" si="142">"SS SL 114882"</f>
        <v>SS SL 114882</v>
      </c>
      <c r="E873" t="str">
        <f t="shared" si="127"/>
        <v>SS</v>
      </c>
      <c r="F873" t="s">
        <v>25</v>
      </c>
      <c r="G873" t="s">
        <v>22</v>
      </c>
      <c r="H873">
        <v>2158</v>
      </c>
      <c r="I873" t="str">
        <f t="shared" si="138"/>
        <v>Creative Support Ltd</v>
      </c>
      <c r="J873" t="str">
        <f t="shared" ref="J873:J878" si="143"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874" spans="1:10" x14ac:dyDescent="0.35">
      <c r="A874" t="str">
        <f t="shared" si="141"/>
        <v>AUG</v>
      </c>
      <c r="B874" t="str">
        <f t="shared" si="125"/>
        <v>20</v>
      </c>
      <c r="C874" t="str">
        <f t="shared" si="126"/>
        <v>2020/21</v>
      </c>
      <c r="D874" t="str">
        <f t="shared" si="142"/>
        <v>SS SL 114882</v>
      </c>
      <c r="E874" t="str">
        <f t="shared" si="127"/>
        <v>SS</v>
      </c>
      <c r="F874" t="s">
        <v>25</v>
      </c>
      <c r="G874" t="s">
        <v>22</v>
      </c>
      <c r="H874">
        <v>2158</v>
      </c>
      <c r="I874" t="str">
        <f t="shared" si="138"/>
        <v>Creative Support Ltd</v>
      </c>
      <c r="J874" t="str">
        <f t="shared" si="143"/>
        <v>Railway Terrace (Creative Support) Private Contractors Agency And Contracted Services Supported Living Adult Health &amp; Social Care</v>
      </c>
    </row>
    <row r="875" spans="1:10" x14ac:dyDescent="0.35">
      <c r="A875" t="str">
        <f t="shared" si="141"/>
        <v>AUG</v>
      </c>
      <c r="B875" t="str">
        <f t="shared" si="125"/>
        <v>20</v>
      </c>
      <c r="C875" t="str">
        <f t="shared" si="126"/>
        <v>2020/21</v>
      </c>
      <c r="D875" t="str">
        <f t="shared" si="142"/>
        <v>SS SL 114882</v>
      </c>
      <c r="E875" t="str">
        <f t="shared" si="127"/>
        <v>SS</v>
      </c>
      <c r="F875" t="s">
        <v>25</v>
      </c>
      <c r="G875" t="s">
        <v>22</v>
      </c>
      <c r="H875">
        <v>2357.1999999999998</v>
      </c>
      <c r="I875" t="str">
        <f t="shared" si="138"/>
        <v>Creative Support Ltd</v>
      </c>
      <c r="J875" t="str">
        <f t="shared" si="143"/>
        <v>Railway Terrace (Creative Support) Private Contractors Agency And Contracted Services Supported Living Adult Health &amp; Social Care</v>
      </c>
    </row>
    <row r="876" spans="1:10" x14ac:dyDescent="0.35">
      <c r="A876" t="str">
        <f t="shared" si="141"/>
        <v>AUG</v>
      </c>
      <c r="B876" t="str">
        <f t="shared" si="125"/>
        <v>20</v>
      </c>
      <c r="C876" t="str">
        <f t="shared" si="126"/>
        <v>2020/21</v>
      </c>
      <c r="D876" t="str">
        <f t="shared" si="142"/>
        <v>SS SL 114882</v>
      </c>
      <c r="E876" t="str">
        <f t="shared" si="127"/>
        <v>SS</v>
      </c>
      <c r="F876" t="s">
        <v>25</v>
      </c>
      <c r="G876" t="s">
        <v>22</v>
      </c>
      <c r="H876">
        <v>2284.8000000000002</v>
      </c>
      <c r="I876" t="str">
        <f t="shared" si="138"/>
        <v>Creative Support Ltd</v>
      </c>
      <c r="J876" t="str">
        <f t="shared" si="143"/>
        <v>Railway Terrace (Creative Support) Private Contractors Agency And Contracted Services Supported Living Adult Health &amp; Social Care</v>
      </c>
    </row>
    <row r="877" spans="1:10" x14ac:dyDescent="0.35">
      <c r="A877" t="str">
        <f t="shared" si="141"/>
        <v>AUG</v>
      </c>
      <c r="B877" t="str">
        <f t="shared" si="125"/>
        <v>20</v>
      </c>
      <c r="C877" t="str">
        <f t="shared" si="126"/>
        <v>2020/21</v>
      </c>
      <c r="D877" t="str">
        <f t="shared" si="142"/>
        <v>SS SL 114882</v>
      </c>
      <c r="E877" t="str">
        <f t="shared" si="127"/>
        <v>SS</v>
      </c>
      <c r="F877" t="s">
        <v>25</v>
      </c>
      <c r="G877" t="s">
        <v>22</v>
      </c>
      <c r="H877">
        <v>1626.8</v>
      </c>
      <c r="I877" t="str">
        <f t="shared" si="138"/>
        <v>Creative Support Ltd</v>
      </c>
      <c r="J877" t="str">
        <f t="shared" si="143"/>
        <v>Railway Terrace (Creative Support) Private Contractors Agency And Contracted Services Supported Living Adult Health &amp; Social Care</v>
      </c>
    </row>
    <row r="878" spans="1:10" x14ac:dyDescent="0.35">
      <c r="A878" t="str">
        <f t="shared" si="141"/>
        <v>AUG</v>
      </c>
      <c r="B878" t="str">
        <f t="shared" si="125"/>
        <v>20</v>
      </c>
      <c r="C878" t="str">
        <f t="shared" si="126"/>
        <v>2020/21</v>
      </c>
      <c r="D878" t="str">
        <f t="shared" si="142"/>
        <v>SS SL 114882</v>
      </c>
      <c r="E878" t="str">
        <f t="shared" si="127"/>
        <v>SS</v>
      </c>
      <c r="F878" t="s">
        <v>25</v>
      </c>
      <c r="G878" t="s">
        <v>22</v>
      </c>
      <c r="H878">
        <v>2490</v>
      </c>
      <c r="I878" t="str">
        <f t="shared" si="138"/>
        <v>Creative Support Ltd</v>
      </c>
      <c r="J878" t="str">
        <f t="shared" si="143"/>
        <v>Railway Terrace (Creative Support) Private Contractors Agency And Contracted Services Supported Living Adult Health &amp; Social Care</v>
      </c>
    </row>
    <row r="879" spans="1:10" x14ac:dyDescent="0.35">
      <c r="A879" t="str">
        <f t="shared" si="141"/>
        <v>AUG</v>
      </c>
      <c r="B879" t="str">
        <f t="shared" si="125"/>
        <v>20</v>
      </c>
      <c r="C879" t="str">
        <f t="shared" si="126"/>
        <v>2020/21</v>
      </c>
      <c r="D879" t="str">
        <f>"SS SL 114884"</f>
        <v>SS SL 114884</v>
      </c>
      <c r="E879" t="str">
        <f t="shared" si="127"/>
        <v>SS</v>
      </c>
      <c r="F879" t="s">
        <v>25</v>
      </c>
      <c r="G879" t="s">
        <v>22</v>
      </c>
      <c r="H879">
        <v>3452.8</v>
      </c>
      <c r="I879" t="str">
        <f t="shared" si="138"/>
        <v>Creative Support Ltd</v>
      </c>
      <c r="J879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880" spans="1:10" x14ac:dyDescent="0.35">
      <c r="A880" t="str">
        <f t="shared" si="141"/>
        <v>AUG</v>
      </c>
      <c r="B880" t="str">
        <f t="shared" si="125"/>
        <v>20</v>
      </c>
      <c r="C880" t="str">
        <f t="shared" si="126"/>
        <v>2020/21</v>
      </c>
      <c r="D880" t="str">
        <f>"SS SL 114884"</f>
        <v>SS SL 114884</v>
      </c>
      <c r="E880" t="str">
        <f t="shared" si="127"/>
        <v>SS</v>
      </c>
      <c r="F880" t="s">
        <v>25</v>
      </c>
      <c r="G880" t="s">
        <v>22</v>
      </c>
      <c r="H880">
        <v>6308</v>
      </c>
      <c r="I880" t="str">
        <f t="shared" si="138"/>
        <v>Creative Support Ltd</v>
      </c>
      <c r="J880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881" spans="1:10" x14ac:dyDescent="0.35">
      <c r="A881" t="str">
        <f t="shared" si="141"/>
        <v>AUG</v>
      </c>
      <c r="B881" t="str">
        <f t="shared" si="125"/>
        <v>20</v>
      </c>
      <c r="C881" t="str">
        <f t="shared" si="126"/>
        <v>2020/21</v>
      </c>
      <c r="D881" t="str">
        <f>"SS SL 114884"</f>
        <v>SS SL 114884</v>
      </c>
      <c r="E881" t="str">
        <f t="shared" si="127"/>
        <v>SS</v>
      </c>
      <c r="F881" t="s">
        <v>25</v>
      </c>
      <c r="G881" t="s">
        <v>22</v>
      </c>
      <c r="H881">
        <v>3452.8</v>
      </c>
      <c r="I881" t="str">
        <f t="shared" si="138"/>
        <v>Creative Support Ltd</v>
      </c>
      <c r="J881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882" spans="1:10" x14ac:dyDescent="0.35">
      <c r="A882" t="str">
        <f t="shared" si="141"/>
        <v>AUG</v>
      </c>
      <c r="B882" t="str">
        <f t="shared" si="125"/>
        <v>20</v>
      </c>
      <c r="C882" t="str">
        <f t="shared" si="126"/>
        <v>2020/21</v>
      </c>
      <c r="D882" t="str">
        <f>"SS SL 114884"</f>
        <v>SS SL 114884</v>
      </c>
      <c r="E882" t="str">
        <f t="shared" si="127"/>
        <v>SS</v>
      </c>
      <c r="F882" t="s">
        <v>25</v>
      </c>
      <c r="G882" t="s">
        <v>22</v>
      </c>
      <c r="H882">
        <v>2284.8000000000002</v>
      </c>
      <c r="I882" t="str">
        <f t="shared" si="138"/>
        <v>Creative Support Ltd</v>
      </c>
      <c r="J882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883" spans="1:10" x14ac:dyDescent="0.35">
      <c r="A883" t="str">
        <f t="shared" si="141"/>
        <v>AUG</v>
      </c>
      <c r="B883" t="str">
        <f t="shared" si="125"/>
        <v>20</v>
      </c>
      <c r="C883" t="str">
        <f t="shared" si="126"/>
        <v>2020/21</v>
      </c>
      <c r="D883" t="str">
        <f>"SS SL 114892"</f>
        <v>SS SL 114892</v>
      </c>
      <c r="E883" t="str">
        <f t="shared" si="127"/>
        <v>SS</v>
      </c>
      <c r="F883" t="s">
        <v>25</v>
      </c>
      <c r="G883" t="s">
        <v>22</v>
      </c>
      <c r="H883">
        <v>2788.8</v>
      </c>
      <c r="I883" t="str">
        <f t="shared" si="138"/>
        <v>Creative Support Ltd</v>
      </c>
      <c r="J883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884" spans="1:10" x14ac:dyDescent="0.35">
      <c r="A884" t="str">
        <f t="shared" si="141"/>
        <v>AUG</v>
      </c>
      <c r="B884" t="str">
        <f t="shared" si="125"/>
        <v>20</v>
      </c>
      <c r="C884" t="str">
        <f t="shared" si="126"/>
        <v>2020/21</v>
      </c>
      <c r="D884" t="str">
        <f>"SS SL 114892"</f>
        <v>SS SL 114892</v>
      </c>
      <c r="E884" t="str">
        <f t="shared" si="127"/>
        <v>SS</v>
      </c>
      <c r="F884" t="s">
        <v>25</v>
      </c>
      <c r="G884" t="s">
        <v>22</v>
      </c>
      <c r="H884">
        <v>2284.8000000000002</v>
      </c>
      <c r="I884" t="str">
        <f t="shared" si="138"/>
        <v>Creative Support Ltd</v>
      </c>
      <c r="J884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885" spans="1:10" x14ac:dyDescent="0.35">
      <c r="A885" t="str">
        <f t="shared" si="141"/>
        <v>AUG</v>
      </c>
      <c r="B885" t="str">
        <f t="shared" si="125"/>
        <v>20</v>
      </c>
      <c r="C885" t="str">
        <f t="shared" si="126"/>
        <v>2020/21</v>
      </c>
      <c r="D885" t="str">
        <f>"SS SL 114892"</f>
        <v>SS SL 114892</v>
      </c>
      <c r="E885" t="str">
        <f t="shared" si="127"/>
        <v>SS</v>
      </c>
      <c r="F885" t="s">
        <v>25</v>
      </c>
      <c r="G885" t="s">
        <v>22</v>
      </c>
      <c r="H885">
        <v>3270.2</v>
      </c>
      <c r="I885" t="str">
        <f t="shared" si="138"/>
        <v>Creative Support Ltd</v>
      </c>
      <c r="J885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886" spans="1:10" x14ac:dyDescent="0.35">
      <c r="A886" t="str">
        <f t="shared" si="141"/>
        <v>AUG</v>
      </c>
      <c r="B886" t="str">
        <f t="shared" si="125"/>
        <v>20</v>
      </c>
      <c r="C886" t="str">
        <f t="shared" si="126"/>
        <v>2020/21</v>
      </c>
      <c r="D886" t="str">
        <f>"SS SL 114892"</f>
        <v>SS SL 114892</v>
      </c>
      <c r="E886" t="str">
        <f t="shared" si="127"/>
        <v>SS</v>
      </c>
      <c r="F886" t="s">
        <v>25</v>
      </c>
      <c r="G886" t="s">
        <v>22</v>
      </c>
      <c r="H886">
        <v>3253.6</v>
      </c>
      <c r="I886" t="str">
        <f t="shared" si="138"/>
        <v>Creative Support Ltd</v>
      </c>
      <c r="J886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887" spans="1:10" x14ac:dyDescent="0.35">
      <c r="A887" t="str">
        <f t="shared" si="141"/>
        <v>AUG</v>
      </c>
      <c r="B887" t="str">
        <f t="shared" si="125"/>
        <v>20</v>
      </c>
      <c r="C887" t="str">
        <f t="shared" si="126"/>
        <v>2020/21</v>
      </c>
      <c r="D887" t="str">
        <f>"SS SL 114892"</f>
        <v>SS SL 114892</v>
      </c>
      <c r="E887" t="str">
        <f t="shared" si="127"/>
        <v>SS</v>
      </c>
      <c r="F887" t="s">
        <v>25</v>
      </c>
      <c r="G887" t="s">
        <v>22</v>
      </c>
      <c r="H887">
        <v>2656</v>
      </c>
      <c r="I887" t="str">
        <f t="shared" si="138"/>
        <v>Creative Support Ltd</v>
      </c>
      <c r="J887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888" spans="1:10" x14ac:dyDescent="0.35">
      <c r="A888" t="str">
        <f t="shared" si="141"/>
        <v>AUG</v>
      </c>
      <c r="B888" t="str">
        <f t="shared" si="125"/>
        <v>20</v>
      </c>
      <c r="C888" t="str">
        <f t="shared" si="126"/>
        <v>2020/21</v>
      </c>
      <c r="D888" t="str">
        <f>"SS SL 113638"</f>
        <v>SS SL 113638</v>
      </c>
      <c r="E888" t="str">
        <f t="shared" si="127"/>
        <v>SS</v>
      </c>
      <c r="F888" t="s">
        <v>25</v>
      </c>
      <c r="G888" t="s">
        <v>22</v>
      </c>
      <c r="H888">
        <v>4849.76</v>
      </c>
      <c r="I888" t="str">
        <f>"Autism Plus Ltd"</f>
        <v>Autism Plus Ltd</v>
      </c>
      <c r="J888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889" spans="1:10" x14ac:dyDescent="0.35">
      <c r="A889" t="str">
        <f t="shared" si="141"/>
        <v>AUG</v>
      </c>
      <c r="B889" t="str">
        <f t="shared" si="125"/>
        <v>20</v>
      </c>
      <c r="C889" t="str">
        <f t="shared" si="126"/>
        <v>2020/21</v>
      </c>
      <c r="D889" t="str">
        <f>"SS SL 114877"</f>
        <v>SS SL 114877</v>
      </c>
      <c r="E889" t="str">
        <f t="shared" si="127"/>
        <v>SS</v>
      </c>
      <c r="F889" t="s">
        <v>25</v>
      </c>
      <c r="G889" t="s">
        <v>22</v>
      </c>
      <c r="H889">
        <v>7428.88</v>
      </c>
      <c r="I889" t="str">
        <f>"Creative Support Ltd"</f>
        <v>Creative Support Ltd</v>
      </c>
      <c r="J889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890" spans="1:10" x14ac:dyDescent="0.35">
      <c r="A890" t="str">
        <f t="shared" si="141"/>
        <v>AUG</v>
      </c>
      <c r="B890" t="str">
        <f t="shared" si="125"/>
        <v>20</v>
      </c>
      <c r="C890" t="str">
        <f t="shared" si="126"/>
        <v>2020/21</v>
      </c>
      <c r="D890" t="str">
        <f>"SS SL 114877"</f>
        <v>SS SL 114877</v>
      </c>
      <c r="E890" t="str">
        <f t="shared" si="127"/>
        <v>SS</v>
      </c>
      <c r="F890" t="s">
        <v>25</v>
      </c>
      <c r="G890" t="s">
        <v>22</v>
      </c>
      <c r="H890">
        <v>8368.56</v>
      </c>
      <c r="I890" t="str">
        <f>"Creative Support Ltd"</f>
        <v>Creative Support Ltd</v>
      </c>
      <c r="J890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891" spans="1:10" x14ac:dyDescent="0.35">
      <c r="A891" t="str">
        <f t="shared" si="141"/>
        <v>AUG</v>
      </c>
      <c r="B891" t="str">
        <f t="shared" si="125"/>
        <v>20</v>
      </c>
      <c r="C891" t="str">
        <f t="shared" si="126"/>
        <v>2020/21</v>
      </c>
      <c r="D891" t="str">
        <f>"SS SL 114877"</f>
        <v>SS SL 114877</v>
      </c>
      <c r="E891" t="str">
        <f t="shared" si="127"/>
        <v>SS</v>
      </c>
      <c r="F891" t="s">
        <v>25</v>
      </c>
      <c r="G891" t="s">
        <v>22</v>
      </c>
      <c r="H891">
        <v>1493.36</v>
      </c>
      <c r="I891" t="str">
        <f>"Creative Support Ltd"</f>
        <v>Creative Support Ltd</v>
      </c>
      <c r="J891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892" spans="1:10" x14ac:dyDescent="0.35">
      <c r="A892" t="str">
        <f t="shared" si="141"/>
        <v>AUG</v>
      </c>
      <c r="B892" t="str">
        <f t="shared" si="125"/>
        <v>20</v>
      </c>
      <c r="C892" t="str">
        <f t="shared" si="126"/>
        <v>2020/21</v>
      </c>
      <c r="D892" t="str">
        <f>"SS SL 114877"</f>
        <v>SS SL 114877</v>
      </c>
      <c r="E892" t="str">
        <f t="shared" si="127"/>
        <v>SS</v>
      </c>
      <c r="F892" t="s">
        <v>25</v>
      </c>
      <c r="G892" t="s">
        <v>22</v>
      </c>
      <c r="H892">
        <v>-0.05</v>
      </c>
      <c r="I892" t="str">
        <f>"Creative Support Ltd"</f>
        <v>Creative Support Ltd</v>
      </c>
      <c r="J892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893" spans="1:10" x14ac:dyDescent="0.35">
      <c r="A893" t="str">
        <f t="shared" si="141"/>
        <v>AUG</v>
      </c>
      <c r="B893" t="str">
        <f t="shared" si="125"/>
        <v>20</v>
      </c>
      <c r="C893" t="str">
        <f t="shared" si="126"/>
        <v>2020/21</v>
      </c>
      <c r="D893" t="str">
        <f>"SS SL 114877"</f>
        <v>SS SL 114877</v>
      </c>
      <c r="E893" t="str">
        <f t="shared" si="127"/>
        <v>SS</v>
      </c>
      <c r="F893" t="s">
        <v>25</v>
      </c>
      <c r="G893" t="s">
        <v>22</v>
      </c>
      <c r="H893">
        <v>2526.7199999999998</v>
      </c>
      <c r="I893" t="str">
        <f>"Creative Support Ltd"</f>
        <v>Creative Support Ltd</v>
      </c>
      <c r="J893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894" spans="1:10" x14ac:dyDescent="0.35">
      <c r="A894" t="str">
        <f t="shared" si="141"/>
        <v>AUG</v>
      </c>
      <c r="B894" t="str">
        <f t="shared" si="125"/>
        <v>20</v>
      </c>
      <c r="C894" t="str">
        <f t="shared" si="126"/>
        <v>2020/21</v>
      </c>
      <c r="D894" t="str">
        <f t="shared" ref="D894:D903" si="144">"SS SL 114855"</f>
        <v>SS SL 114855</v>
      </c>
      <c r="E894" t="str">
        <f t="shared" si="127"/>
        <v>SS</v>
      </c>
      <c r="F894" t="s">
        <v>25</v>
      </c>
      <c r="G894" t="s">
        <v>22</v>
      </c>
      <c r="H894">
        <v>3369.8</v>
      </c>
      <c r="I894" t="str">
        <f t="shared" ref="I894:I903" si="145">"The Mayfield Trust"</f>
        <v>The Mayfield Trust</v>
      </c>
      <c r="J894" t="str">
        <f t="shared" ref="J894:J903" si="146"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895" spans="1:10" x14ac:dyDescent="0.35">
      <c r="A895" t="str">
        <f t="shared" si="141"/>
        <v>AUG</v>
      </c>
      <c r="B895" t="str">
        <f t="shared" si="125"/>
        <v>20</v>
      </c>
      <c r="C895" t="str">
        <f t="shared" si="126"/>
        <v>2020/21</v>
      </c>
      <c r="D895" t="str">
        <f t="shared" si="144"/>
        <v>SS SL 114855</v>
      </c>
      <c r="E895" t="str">
        <f t="shared" si="127"/>
        <v>SS</v>
      </c>
      <c r="F895" t="s">
        <v>25</v>
      </c>
      <c r="G895" t="s">
        <v>22</v>
      </c>
      <c r="H895">
        <v>2905</v>
      </c>
      <c r="I895" t="str">
        <f t="shared" si="145"/>
        <v>The Mayfield Trust</v>
      </c>
      <c r="J895" t="str">
        <f t="shared" si="146"/>
        <v>Mayfield Mews (Mayfield) Private Contractors Agency And Contracted Services Supported Living Adult Health &amp; Social Care</v>
      </c>
    </row>
    <row r="896" spans="1:10" x14ac:dyDescent="0.35">
      <c r="A896" t="str">
        <f t="shared" si="141"/>
        <v>AUG</v>
      </c>
      <c r="B896" t="str">
        <f t="shared" si="125"/>
        <v>20</v>
      </c>
      <c r="C896" t="str">
        <f t="shared" si="126"/>
        <v>2020/21</v>
      </c>
      <c r="D896" t="str">
        <f t="shared" si="144"/>
        <v>SS SL 114855</v>
      </c>
      <c r="E896" t="str">
        <f t="shared" si="127"/>
        <v>SS</v>
      </c>
      <c r="F896" t="s">
        <v>25</v>
      </c>
      <c r="G896" t="s">
        <v>22</v>
      </c>
      <c r="H896">
        <v>2284.8000000000002</v>
      </c>
      <c r="I896" t="str">
        <f t="shared" si="145"/>
        <v>The Mayfield Trust</v>
      </c>
      <c r="J896" t="str">
        <f t="shared" si="146"/>
        <v>Mayfield Mews (Mayfield) Private Contractors Agency And Contracted Services Supported Living Adult Health &amp; Social Care</v>
      </c>
    </row>
    <row r="897" spans="1:10" x14ac:dyDescent="0.35">
      <c r="A897" t="str">
        <f t="shared" si="141"/>
        <v>AUG</v>
      </c>
      <c r="B897" t="str">
        <f t="shared" si="125"/>
        <v>20</v>
      </c>
      <c r="C897" t="str">
        <f t="shared" si="126"/>
        <v>2020/21</v>
      </c>
      <c r="D897" t="str">
        <f t="shared" si="144"/>
        <v>SS SL 114855</v>
      </c>
      <c r="E897" t="str">
        <f t="shared" si="127"/>
        <v>SS</v>
      </c>
      <c r="F897" t="s">
        <v>25</v>
      </c>
      <c r="G897" t="s">
        <v>22</v>
      </c>
      <c r="H897">
        <v>2606.3200000000002</v>
      </c>
      <c r="I897" t="str">
        <f t="shared" si="145"/>
        <v>The Mayfield Trust</v>
      </c>
      <c r="J897" t="str">
        <f t="shared" si="146"/>
        <v>Mayfield Mews (Mayfield) Private Contractors Agency And Contracted Services Supported Living Adult Health &amp; Social Care</v>
      </c>
    </row>
    <row r="898" spans="1:10" x14ac:dyDescent="0.35">
      <c r="A898" t="str">
        <f t="shared" si="141"/>
        <v>AUG</v>
      </c>
      <c r="B898" t="str">
        <f t="shared" ref="B898:B961" si="147">"20"</f>
        <v>20</v>
      </c>
      <c r="C898" t="str">
        <f t="shared" ref="C898:C961" si="148">"2020/21"</f>
        <v>2020/21</v>
      </c>
      <c r="D898" t="str">
        <f t="shared" si="144"/>
        <v>SS SL 114855</v>
      </c>
      <c r="E898" t="str">
        <f t="shared" ref="E898:E961" si="149">LEFT(D898,2)</f>
        <v>SS</v>
      </c>
      <c r="F898" t="s">
        <v>25</v>
      </c>
      <c r="G898" t="s">
        <v>22</v>
      </c>
      <c r="H898">
        <v>2905</v>
      </c>
      <c r="I898" t="str">
        <f t="shared" si="145"/>
        <v>The Mayfield Trust</v>
      </c>
      <c r="J898" t="str">
        <f t="shared" si="146"/>
        <v>Mayfield Mews (Mayfield) Private Contractors Agency And Contracted Services Supported Living Adult Health &amp; Social Care</v>
      </c>
    </row>
    <row r="899" spans="1:10" x14ac:dyDescent="0.35">
      <c r="A899" t="str">
        <f t="shared" si="141"/>
        <v>AUG</v>
      </c>
      <c r="B899" t="str">
        <f t="shared" si="147"/>
        <v>20</v>
      </c>
      <c r="C899" t="str">
        <f t="shared" si="148"/>
        <v>2020/21</v>
      </c>
      <c r="D899" t="str">
        <f t="shared" si="144"/>
        <v>SS SL 114855</v>
      </c>
      <c r="E899" t="str">
        <f t="shared" si="149"/>
        <v>SS</v>
      </c>
      <c r="F899" t="s">
        <v>25</v>
      </c>
      <c r="G899" t="s">
        <v>22</v>
      </c>
      <c r="H899">
        <v>-0.04</v>
      </c>
      <c r="I899" t="str">
        <f t="shared" si="145"/>
        <v>The Mayfield Trust</v>
      </c>
      <c r="J899" t="str">
        <f t="shared" si="146"/>
        <v>Mayfield Mews (Mayfield) Private Contractors Agency And Contracted Services Supported Living Adult Health &amp; Social Care</v>
      </c>
    </row>
    <row r="900" spans="1:10" x14ac:dyDescent="0.35">
      <c r="A900" t="str">
        <f t="shared" si="141"/>
        <v>AUG</v>
      </c>
      <c r="B900" t="str">
        <f t="shared" si="147"/>
        <v>20</v>
      </c>
      <c r="C900" t="str">
        <f t="shared" si="148"/>
        <v>2020/21</v>
      </c>
      <c r="D900" t="str">
        <f t="shared" si="144"/>
        <v>SS SL 114855</v>
      </c>
      <c r="E900" t="str">
        <f t="shared" si="149"/>
        <v>SS</v>
      </c>
      <c r="F900" t="s">
        <v>25</v>
      </c>
      <c r="G900" t="s">
        <v>22</v>
      </c>
      <c r="H900">
        <v>2905</v>
      </c>
      <c r="I900" t="str">
        <f t="shared" si="145"/>
        <v>The Mayfield Trust</v>
      </c>
      <c r="J900" t="str">
        <f t="shared" si="146"/>
        <v>Mayfield Mews (Mayfield) Private Contractors Agency And Contracted Services Supported Living Adult Health &amp; Social Care</v>
      </c>
    </row>
    <row r="901" spans="1:10" x14ac:dyDescent="0.35">
      <c r="A901" t="str">
        <f t="shared" si="141"/>
        <v>AUG</v>
      </c>
      <c r="B901" t="str">
        <f t="shared" si="147"/>
        <v>20</v>
      </c>
      <c r="C901" t="str">
        <f t="shared" si="148"/>
        <v>2020/21</v>
      </c>
      <c r="D901" t="str">
        <f t="shared" si="144"/>
        <v>SS SL 114855</v>
      </c>
      <c r="E901" t="str">
        <f t="shared" si="149"/>
        <v>SS</v>
      </c>
      <c r="F901" t="s">
        <v>25</v>
      </c>
      <c r="G901" t="s">
        <v>22</v>
      </c>
      <c r="H901">
        <v>4648</v>
      </c>
      <c r="I901" t="str">
        <f t="shared" si="145"/>
        <v>The Mayfield Trust</v>
      </c>
      <c r="J901" t="str">
        <f t="shared" si="146"/>
        <v>Mayfield Mews (Mayfield) Private Contractors Agency And Contracted Services Supported Living Adult Health &amp; Social Care</v>
      </c>
    </row>
    <row r="902" spans="1:10" x14ac:dyDescent="0.35">
      <c r="A902" t="str">
        <f t="shared" si="141"/>
        <v>AUG</v>
      </c>
      <c r="B902" t="str">
        <f t="shared" si="147"/>
        <v>20</v>
      </c>
      <c r="C902" t="str">
        <f t="shared" si="148"/>
        <v>2020/21</v>
      </c>
      <c r="D902" t="str">
        <f t="shared" si="144"/>
        <v>SS SL 114855</v>
      </c>
      <c r="E902" t="str">
        <f t="shared" si="149"/>
        <v>SS</v>
      </c>
      <c r="F902" t="s">
        <v>25</v>
      </c>
      <c r="G902" t="s">
        <v>22</v>
      </c>
      <c r="H902">
        <v>2606.34</v>
      </c>
      <c r="I902" t="str">
        <f t="shared" si="145"/>
        <v>The Mayfield Trust</v>
      </c>
      <c r="J902" t="str">
        <f t="shared" si="146"/>
        <v>Mayfield Mews (Mayfield) Private Contractors Agency And Contracted Services Supported Living Adult Health &amp; Social Care</v>
      </c>
    </row>
    <row r="903" spans="1:10" x14ac:dyDescent="0.35">
      <c r="A903" t="str">
        <f t="shared" ref="A903:A934" si="150">"AUG"</f>
        <v>AUG</v>
      </c>
      <c r="B903" t="str">
        <f t="shared" si="147"/>
        <v>20</v>
      </c>
      <c r="C903" t="str">
        <f t="shared" si="148"/>
        <v>2020/21</v>
      </c>
      <c r="D903" t="str">
        <f t="shared" si="144"/>
        <v>SS SL 114855</v>
      </c>
      <c r="E903" t="str">
        <f t="shared" si="149"/>
        <v>SS</v>
      </c>
      <c r="F903" t="s">
        <v>25</v>
      </c>
      <c r="G903" t="s">
        <v>22</v>
      </c>
      <c r="H903">
        <v>2905</v>
      </c>
      <c r="I903" t="str">
        <f t="shared" si="145"/>
        <v>The Mayfield Trust</v>
      </c>
      <c r="J903" t="str">
        <f t="shared" si="146"/>
        <v>Mayfield Mews (Mayfield) Private Contractors Agency And Contracted Services Supported Living Adult Health &amp; Social Care</v>
      </c>
    </row>
    <row r="904" spans="1:10" x14ac:dyDescent="0.35">
      <c r="A904" t="str">
        <f t="shared" si="150"/>
        <v>AUG</v>
      </c>
      <c r="B904" t="str">
        <f t="shared" si="147"/>
        <v>20</v>
      </c>
      <c r="C904" t="str">
        <f t="shared" si="148"/>
        <v>2020/21</v>
      </c>
      <c r="D904" t="str">
        <f>"SS AD 114934"</f>
        <v>SS AD 114934</v>
      </c>
      <c r="E904" t="str">
        <f t="shared" si="149"/>
        <v>SS</v>
      </c>
      <c r="F904" t="s">
        <v>25</v>
      </c>
      <c r="G904" t="s">
        <v>22</v>
      </c>
      <c r="H904">
        <v>3694.03</v>
      </c>
      <c r="I904" t="str">
        <f>"Possabilities CIC"</f>
        <v>Possabilities CIC</v>
      </c>
      <c r="J904" t="str">
        <f>"COVID-19 Additional Payments Private Contractors Agency And Contracted Services Supported Living Adult Health &amp; Social Care"</f>
        <v>COVID-19 Additional Payments Private Contractors Agency And Contracted Services Supported Living Adult Health &amp; Social Care</v>
      </c>
    </row>
    <row r="905" spans="1:10" x14ac:dyDescent="0.35">
      <c r="A905" t="str">
        <f t="shared" si="150"/>
        <v>AUG</v>
      </c>
      <c r="B905" t="str">
        <f t="shared" si="147"/>
        <v>20</v>
      </c>
      <c r="C905" t="str">
        <f t="shared" si="148"/>
        <v>2020/21</v>
      </c>
      <c r="D905" t="str">
        <f>"SS SL 115125"</f>
        <v>SS SL 115125</v>
      </c>
      <c r="E905" t="str">
        <f t="shared" si="149"/>
        <v>SS</v>
      </c>
      <c r="F905" t="s">
        <v>25</v>
      </c>
      <c r="G905" t="s">
        <v>22</v>
      </c>
      <c r="H905">
        <v>2889.18</v>
      </c>
      <c r="I905" t="str">
        <f>"The Mayfield Trust"</f>
        <v>The Mayfield Trust</v>
      </c>
      <c r="J905" t="str">
        <f t="shared" ref="J905:J921" si="151">"Infection Control Fund Payment - Round 1 Private Contractors Agency And Contracted Services Supported Living Adult Health &amp; Social Care"</f>
        <v>Infection Control Fund Payment - Round 1 Private Contractors Agency And Contracted Services Supported Living Adult Health &amp; Social Care</v>
      </c>
    </row>
    <row r="906" spans="1:10" x14ac:dyDescent="0.35">
      <c r="A906" t="str">
        <f t="shared" si="150"/>
        <v>AUG</v>
      </c>
      <c r="B906" t="str">
        <f t="shared" si="147"/>
        <v>20</v>
      </c>
      <c r="C906" t="str">
        <f t="shared" si="148"/>
        <v>2020/21</v>
      </c>
      <c r="D906" t="str">
        <f>"SS SL 115125"</f>
        <v>SS SL 115125</v>
      </c>
      <c r="E906" t="str">
        <f t="shared" si="149"/>
        <v>SS</v>
      </c>
      <c r="F906" t="s">
        <v>25</v>
      </c>
      <c r="G906" t="s">
        <v>22</v>
      </c>
      <c r="H906">
        <v>2889.18</v>
      </c>
      <c r="I906" t="str">
        <f>"The Mayfield Trust"</f>
        <v>The Mayfield Trust</v>
      </c>
      <c r="J906" t="str">
        <f t="shared" si="151"/>
        <v>Infection Control Fund Payment - Round 1 Private Contractors Agency And Contracted Services Supported Living Adult Health &amp; Social Care</v>
      </c>
    </row>
    <row r="907" spans="1:10" x14ac:dyDescent="0.35">
      <c r="A907" t="str">
        <f t="shared" si="150"/>
        <v>AUG</v>
      </c>
      <c r="B907" t="str">
        <f t="shared" si="147"/>
        <v>20</v>
      </c>
      <c r="C907" t="str">
        <f t="shared" si="148"/>
        <v>2020/21</v>
      </c>
      <c r="D907" t="str">
        <f>"SS SL 115125"</f>
        <v>SS SL 115125</v>
      </c>
      <c r="E907" t="str">
        <f t="shared" si="149"/>
        <v>SS</v>
      </c>
      <c r="F907" t="s">
        <v>25</v>
      </c>
      <c r="G907" t="s">
        <v>22</v>
      </c>
      <c r="H907">
        <v>4333.7700000000004</v>
      </c>
      <c r="I907" t="str">
        <f>"The Mayfield Trust"</f>
        <v>The Mayfield Trust</v>
      </c>
      <c r="J907" t="str">
        <f t="shared" si="151"/>
        <v>Infection Control Fund Payment - Round 1 Private Contractors Agency And Contracted Services Supported Living Adult Health &amp; Social Care</v>
      </c>
    </row>
    <row r="908" spans="1:10" x14ac:dyDescent="0.35">
      <c r="A908" t="str">
        <f t="shared" si="150"/>
        <v>AUG</v>
      </c>
      <c r="B908" t="str">
        <f t="shared" si="147"/>
        <v>20</v>
      </c>
      <c r="C908" t="str">
        <f t="shared" si="148"/>
        <v>2020/21</v>
      </c>
      <c r="D908" t="str">
        <f t="shared" ref="D908:D917" si="152">"SS SL 115123"</f>
        <v>SS SL 115123</v>
      </c>
      <c r="E908" t="str">
        <f t="shared" si="149"/>
        <v>SS</v>
      </c>
      <c r="F908" t="s">
        <v>25</v>
      </c>
      <c r="G908" t="s">
        <v>22</v>
      </c>
      <c r="H908">
        <v>3852.24</v>
      </c>
      <c r="I908" t="str">
        <f t="shared" ref="I908:I917" si="153">"Creative Support Ltd"</f>
        <v>Creative Support Ltd</v>
      </c>
      <c r="J908" t="str">
        <f t="shared" si="151"/>
        <v>Infection Control Fund Payment - Round 1 Private Contractors Agency And Contracted Services Supported Living Adult Health &amp; Social Care</v>
      </c>
    </row>
    <row r="909" spans="1:10" x14ac:dyDescent="0.35">
      <c r="A909" t="str">
        <f t="shared" si="150"/>
        <v>AUG</v>
      </c>
      <c r="B909" t="str">
        <f t="shared" si="147"/>
        <v>20</v>
      </c>
      <c r="C909" t="str">
        <f t="shared" si="148"/>
        <v>2020/21</v>
      </c>
      <c r="D909" t="str">
        <f t="shared" si="152"/>
        <v>SS SL 115123</v>
      </c>
      <c r="E909" t="str">
        <f t="shared" si="149"/>
        <v>SS</v>
      </c>
      <c r="F909" t="s">
        <v>25</v>
      </c>
      <c r="G909" t="s">
        <v>22</v>
      </c>
      <c r="H909">
        <v>1926.12</v>
      </c>
      <c r="I909" t="str">
        <f t="shared" si="153"/>
        <v>Creative Support Ltd</v>
      </c>
      <c r="J909" t="str">
        <f t="shared" si="151"/>
        <v>Infection Control Fund Payment - Round 1 Private Contractors Agency And Contracted Services Supported Living Adult Health &amp; Social Care</v>
      </c>
    </row>
    <row r="910" spans="1:10" x14ac:dyDescent="0.35">
      <c r="A910" t="str">
        <f t="shared" si="150"/>
        <v>AUG</v>
      </c>
      <c r="B910" t="str">
        <f t="shared" si="147"/>
        <v>20</v>
      </c>
      <c r="C910" t="str">
        <f t="shared" si="148"/>
        <v>2020/21</v>
      </c>
      <c r="D910" t="str">
        <f t="shared" si="152"/>
        <v>SS SL 115123</v>
      </c>
      <c r="E910" t="str">
        <f t="shared" si="149"/>
        <v>SS</v>
      </c>
      <c r="F910" t="s">
        <v>25</v>
      </c>
      <c r="G910" t="s">
        <v>22</v>
      </c>
      <c r="H910">
        <v>1444.59</v>
      </c>
      <c r="I910" t="str">
        <f t="shared" si="153"/>
        <v>Creative Support Ltd</v>
      </c>
      <c r="J910" t="str">
        <f t="shared" si="151"/>
        <v>Infection Control Fund Payment - Round 1 Private Contractors Agency And Contracted Services Supported Living Adult Health &amp; Social Care</v>
      </c>
    </row>
    <row r="911" spans="1:10" x14ac:dyDescent="0.35">
      <c r="A911" t="str">
        <f t="shared" si="150"/>
        <v>AUG</v>
      </c>
      <c r="B911" t="str">
        <f t="shared" si="147"/>
        <v>20</v>
      </c>
      <c r="C911" t="str">
        <f t="shared" si="148"/>
        <v>2020/21</v>
      </c>
      <c r="D911" t="str">
        <f t="shared" si="152"/>
        <v>SS SL 115123</v>
      </c>
      <c r="E911" t="str">
        <f t="shared" si="149"/>
        <v>SS</v>
      </c>
      <c r="F911" t="s">
        <v>25</v>
      </c>
      <c r="G911" t="s">
        <v>22</v>
      </c>
      <c r="H911">
        <v>1444.59</v>
      </c>
      <c r="I911" t="str">
        <f t="shared" si="153"/>
        <v>Creative Support Ltd</v>
      </c>
      <c r="J911" t="str">
        <f t="shared" si="151"/>
        <v>Infection Control Fund Payment - Round 1 Private Contractors Agency And Contracted Services Supported Living Adult Health &amp; Social Care</v>
      </c>
    </row>
    <row r="912" spans="1:10" x14ac:dyDescent="0.35">
      <c r="A912" t="str">
        <f t="shared" si="150"/>
        <v>AUG</v>
      </c>
      <c r="B912" t="str">
        <f t="shared" si="147"/>
        <v>20</v>
      </c>
      <c r="C912" t="str">
        <f t="shared" si="148"/>
        <v>2020/21</v>
      </c>
      <c r="D912" t="str">
        <f t="shared" si="152"/>
        <v>SS SL 115123</v>
      </c>
      <c r="E912" t="str">
        <f t="shared" si="149"/>
        <v>SS</v>
      </c>
      <c r="F912" t="s">
        <v>25</v>
      </c>
      <c r="G912" t="s">
        <v>22</v>
      </c>
      <c r="H912">
        <v>1926.12</v>
      </c>
      <c r="I912" t="str">
        <f t="shared" si="153"/>
        <v>Creative Support Ltd</v>
      </c>
      <c r="J912" t="str">
        <f t="shared" si="151"/>
        <v>Infection Control Fund Payment - Round 1 Private Contractors Agency And Contracted Services Supported Living Adult Health &amp; Social Care</v>
      </c>
    </row>
    <row r="913" spans="1:10" x14ac:dyDescent="0.35">
      <c r="A913" t="str">
        <f t="shared" si="150"/>
        <v>AUG</v>
      </c>
      <c r="B913" t="str">
        <f t="shared" si="147"/>
        <v>20</v>
      </c>
      <c r="C913" t="str">
        <f t="shared" si="148"/>
        <v>2020/21</v>
      </c>
      <c r="D913" t="str">
        <f t="shared" si="152"/>
        <v>SS SL 115123</v>
      </c>
      <c r="E913" t="str">
        <f t="shared" si="149"/>
        <v>SS</v>
      </c>
      <c r="F913" t="s">
        <v>25</v>
      </c>
      <c r="G913" t="s">
        <v>22</v>
      </c>
      <c r="H913">
        <v>963.06</v>
      </c>
      <c r="I913" t="str">
        <f t="shared" si="153"/>
        <v>Creative Support Ltd</v>
      </c>
      <c r="J913" t="str">
        <f t="shared" si="151"/>
        <v>Infection Control Fund Payment - Round 1 Private Contractors Agency And Contracted Services Supported Living Adult Health &amp; Social Care</v>
      </c>
    </row>
    <row r="914" spans="1:10" x14ac:dyDescent="0.35">
      <c r="A914" t="str">
        <f t="shared" si="150"/>
        <v>AUG</v>
      </c>
      <c r="B914" t="str">
        <f t="shared" si="147"/>
        <v>20</v>
      </c>
      <c r="C914" t="str">
        <f t="shared" si="148"/>
        <v>2020/21</v>
      </c>
      <c r="D914" t="str">
        <f t="shared" si="152"/>
        <v>SS SL 115123</v>
      </c>
      <c r="E914" t="str">
        <f t="shared" si="149"/>
        <v>SS</v>
      </c>
      <c r="F914" t="s">
        <v>25</v>
      </c>
      <c r="G914" t="s">
        <v>22</v>
      </c>
      <c r="H914">
        <v>1926.12</v>
      </c>
      <c r="I914" t="str">
        <f t="shared" si="153"/>
        <v>Creative Support Ltd</v>
      </c>
      <c r="J914" t="str">
        <f t="shared" si="151"/>
        <v>Infection Control Fund Payment - Round 1 Private Contractors Agency And Contracted Services Supported Living Adult Health &amp; Social Care</v>
      </c>
    </row>
    <row r="915" spans="1:10" x14ac:dyDescent="0.35">
      <c r="A915" t="str">
        <f t="shared" si="150"/>
        <v>AUG</v>
      </c>
      <c r="B915" t="str">
        <f t="shared" si="147"/>
        <v>20</v>
      </c>
      <c r="C915" t="str">
        <f t="shared" si="148"/>
        <v>2020/21</v>
      </c>
      <c r="D915" t="str">
        <f t="shared" si="152"/>
        <v>SS SL 115123</v>
      </c>
      <c r="E915" t="str">
        <f t="shared" si="149"/>
        <v>SS</v>
      </c>
      <c r="F915" t="s">
        <v>25</v>
      </c>
      <c r="G915" t="s">
        <v>22</v>
      </c>
      <c r="H915">
        <v>2407.65</v>
      </c>
      <c r="I915" t="str">
        <f t="shared" si="153"/>
        <v>Creative Support Ltd</v>
      </c>
      <c r="J915" t="str">
        <f t="shared" si="151"/>
        <v>Infection Control Fund Payment - Round 1 Private Contractors Agency And Contracted Services Supported Living Adult Health &amp; Social Care</v>
      </c>
    </row>
    <row r="916" spans="1:10" x14ac:dyDescent="0.35">
      <c r="A916" t="str">
        <f t="shared" si="150"/>
        <v>AUG</v>
      </c>
      <c r="B916" t="str">
        <f t="shared" si="147"/>
        <v>20</v>
      </c>
      <c r="C916" t="str">
        <f t="shared" si="148"/>
        <v>2020/21</v>
      </c>
      <c r="D916" t="str">
        <f t="shared" si="152"/>
        <v>SS SL 115123</v>
      </c>
      <c r="E916" t="str">
        <f t="shared" si="149"/>
        <v>SS</v>
      </c>
      <c r="F916" t="s">
        <v>25</v>
      </c>
      <c r="G916" t="s">
        <v>22</v>
      </c>
      <c r="H916">
        <v>2407.65</v>
      </c>
      <c r="I916" t="str">
        <f t="shared" si="153"/>
        <v>Creative Support Ltd</v>
      </c>
      <c r="J916" t="str">
        <f t="shared" si="151"/>
        <v>Infection Control Fund Payment - Round 1 Private Contractors Agency And Contracted Services Supported Living Adult Health &amp; Social Care</v>
      </c>
    </row>
    <row r="917" spans="1:10" x14ac:dyDescent="0.35">
      <c r="A917" t="str">
        <f t="shared" si="150"/>
        <v>AUG</v>
      </c>
      <c r="B917" t="str">
        <f t="shared" si="147"/>
        <v>20</v>
      </c>
      <c r="C917" t="str">
        <f t="shared" si="148"/>
        <v>2020/21</v>
      </c>
      <c r="D917" t="str">
        <f t="shared" si="152"/>
        <v>SS SL 115123</v>
      </c>
      <c r="E917" t="str">
        <f t="shared" si="149"/>
        <v>SS</v>
      </c>
      <c r="F917" t="s">
        <v>25</v>
      </c>
      <c r="G917" t="s">
        <v>22</v>
      </c>
      <c r="H917">
        <v>1926.12</v>
      </c>
      <c r="I917" t="str">
        <f t="shared" si="153"/>
        <v>Creative Support Ltd</v>
      </c>
      <c r="J917" t="str">
        <f t="shared" si="151"/>
        <v>Infection Control Fund Payment - Round 1 Private Contractors Agency And Contracted Services Supported Living Adult Health &amp; Social Care</v>
      </c>
    </row>
    <row r="918" spans="1:10" x14ac:dyDescent="0.35">
      <c r="A918" t="str">
        <f t="shared" si="150"/>
        <v>AUG</v>
      </c>
      <c r="B918" t="str">
        <f t="shared" si="147"/>
        <v>20</v>
      </c>
      <c r="C918" t="str">
        <f t="shared" si="148"/>
        <v>2020/21</v>
      </c>
      <c r="D918" t="str">
        <f>"SS SL 115122"</f>
        <v>SS SL 115122</v>
      </c>
      <c r="E918" t="str">
        <f t="shared" si="149"/>
        <v>SS</v>
      </c>
      <c r="F918" t="s">
        <v>25</v>
      </c>
      <c r="G918" t="s">
        <v>22</v>
      </c>
      <c r="H918">
        <v>6741.42</v>
      </c>
      <c r="I918" t="str">
        <f>"Future Directions CIC"</f>
        <v>Future Directions CIC</v>
      </c>
      <c r="J918" t="str">
        <f t="shared" si="151"/>
        <v>Infection Control Fund Payment - Round 1 Private Contractors Agency And Contracted Services Supported Living Adult Health &amp; Social Care</v>
      </c>
    </row>
    <row r="919" spans="1:10" x14ac:dyDescent="0.35">
      <c r="A919" t="str">
        <f t="shared" si="150"/>
        <v>AUG</v>
      </c>
      <c r="B919" t="str">
        <f t="shared" si="147"/>
        <v>20</v>
      </c>
      <c r="C919" t="str">
        <f t="shared" si="148"/>
        <v>2020/21</v>
      </c>
      <c r="D919" t="str">
        <f>"SS SL 115121"</f>
        <v>SS SL 115121</v>
      </c>
      <c r="E919" t="str">
        <f t="shared" si="149"/>
        <v>SS</v>
      </c>
      <c r="F919" t="s">
        <v>25</v>
      </c>
      <c r="G919" t="s">
        <v>22</v>
      </c>
      <c r="H919">
        <v>1926.12</v>
      </c>
      <c r="I919" t="str">
        <f>"Possabilities CIC"</f>
        <v>Possabilities CIC</v>
      </c>
      <c r="J919" t="str">
        <f t="shared" si="151"/>
        <v>Infection Control Fund Payment - Round 1 Private Contractors Agency And Contracted Services Supported Living Adult Health &amp; Social Care</v>
      </c>
    </row>
    <row r="920" spans="1:10" x14ac:dyDescent="0.35">
      <c r="A920" t="str">
        <f t="shared" si="150"/>
        <v>AUG</v>
      </c>
      <c r="B920" t="str">
        <f t="shared" si="147"/>
        <v>20</v>
      </c>
      <c r="C920" t="str">
        <f t="shared" si="148"/>
        <v>2020/21</v>
      </c>
      <c r="D920" t="str">
        <f>"SS SL 115121"</f>
        <v>SS SL 115121</v>
      </c>
      <c r="E920" t="str">
        <f t="shared" si="149"/>
        <v>SS</v>
      </c>
      <c r="F920" t="s">
        <v>25</v>
      </c>
      <c r="G920" t="s">
        <v>22</v>
      </c>
      <c r="H920">
        <v>2407.65</v>
      </c>
      <c r="I920" t="str">
        <f>"Possabilities CIC"</f>
        <v>Possabilities CIC</v>
      </c>
      <c r="J920" t="str">
        <f t="shared" si="151"/>
        <v>Infection Control Fund Payment - Round 1 Private Contractors Agency And Contracted Services Supported Living Adult Health &amp; Social Care</v>
      </c>
    </row>
    <row r="921" spans="1:10" x14ac:dyDescent="0.35">
      <c r="A921" t="str">
        <f t="shared" si="150"/>
        <v>AUG</v>
      </c>
      <c r="B921" t="str">
        <f t="shared" si="147"/>
        <v>20</v>
      </c>
      <c r="C921" t="str">
        <f t="shared" si="148"/>
        <v>2020/21</v>
      </c>
      <c r="D921" t="str">
        <f>"SS SL 115121"</f>
        <v>SS SL 115121</v>
      </c>
      <c r="E921" t="str">
        <f t="shared" si="149"/>
        <v>SS</v>
      </c>
      <c r="F921" t="s">
        <v>25</v>
      </c>
      <c r="G921" t="s">
        <v>22</v>
      </c>
      <c r="H921">
        <v>963.06</v>
      </c>
      <c r="I921" t="str">
        <f>"Possabilities CIC"</f>
        <v>Possabilities CIC</v>
      </c>
      <c r="J921" t="str">
        <f t="shared" si="151"/>
        <v>Infection Control Fund Payment - Round 1 Private Contractors Agency And Contracted Services Supported Living Adult Health &amp; Social Care</v>
      </c>
    </row>
    <row r="922" spans="1:10" x14ac:dyDescent="0.35">
      <c r="A922" t="str">
        <f t="shared" si="150"/>
        <v>AUG</v>
      </c>
      <c r="B922" t="str">
        <f t="shared" si="147"/>
        <v>20</v>
      </c>
      <c r="C922" t="str">
        <f t="shared" si="148"/>
        <v>2020/21</v>
      </c>
      <c r="D922" t="str">
        <f>"SS AD 115185"</f>
        <v>SS AD 115185</v>
      </c>
      <c r="E922" t="str">
        <f t="shared" si="149"/>
        <v>SS</v>
      </c>
      <c r="F922" t="s">
        <v>25</v>
      </c>
      <c r="G922" t="s">
        <v>22</v>
      </c>
      <c r="H922">
        <v>21187.29</v>
      </c>
      <c r="I922" t="str">
        <f t="shared" ref="I922:I927" si="154">"Anchor Trust"</f>
        <v>Anchor Trust</v>
      </c>
      <c r="J922" t="str">
        <f>"DoH COVID-19 Infection Control Grant - Round 1 Private Contractors Agency And Contracted Services Residential &amp; Nursing Placements (Older People"</f>
        <v>DoH COVID-19 Infection Control Grant - Round 1 Private Contractors Agency And Contracted Services Residential &amp; Nursing Placements (Older People</v>
      </c>
    </row>
    <row r="923" spans="1:10" x14ac:dyDescent="0.35">
      <c r="A923" t="str">
        <f t="shared" si="150"/>
        <v>AUG</v>
      </c>
      <c r="B923" t="str">
        <f t="shared" si="147"/>
        <v>20</v>
      </c>
      <c r="C923" t="str">
        <f t="shared" si="148"/>
        <v>2020/21</v>
      </c>
      <c r="D923" t="str">
        <f>"SS AD 115149"</f>
        <v>SS AD 115149</v>
      </c>
      <c r="E923" t="str">
        <f t="shared" si="149"/>
        <v>SS</v>
      </c>
      <c r="F923" t="s">
        <v>25</v>
      </c>
      <c r="G923" t="s">
        <v>22</v>
      </c>
      <c r="H923">
        <v>24076.46</v>
      </c>
      <c r="I923" t="str">
        <f t="shared" si="154"/>
        <v>Anchor Trust</v>
      </c>
      <c r="J923" t="str">
        <f>"DoH COVID-19 Infection Control Grant - Round 1 Private Contractors Agency And Contracted Services Residential &amp; Nursing Placements (Older People"</f>
        <v>DoH COVID-19 Infection Control Grant - Round 1 Private Contractors Agency And Contracted Services Residential &amp; Nursing Placements (Older People</v>
      </c>
    </row>
    <row r="924" spans="1:10" x14ac:dyDescent="0.35">
      <c r="A924" t="str">
        <f t="shared" si="150"/>
        <v>AUG</v>
      </c>
      <c r="B924" t="str">
        <f t="shared" si="147"/>
        <v>20</v>
      </c>
      <c r="C924" t="str">
        <f t="shared" si="148"/>
        <v>2020/21</v>
      </c>
      <c r="E924" t="str">
        <f t="shared" si="149"/>
        <v/>
      </c>
      <c r="F924" t="s">
        <v>25</v>
      </c>
      <c r="G924" t="s">
        <v>22</v>
      </c>
      <c r="H924">
        <v>18795.34</v>
      </c>
      <c r="I924" t="str">
        <f t="shared" si="154"/>
        <v>Anchor Trust</v>
      </c>
      <c r="J924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925" spans="1:10" x14ac:dyDescent="0.35">
      <c r="A925" t="str">
        <f t="shared" si="150"/>
        <v>AUG</v>
      </c>
      <c r="B925" t="str">
        <f t="shared" si="147"/>
        <v>20</v>
      </c>
      <c r="C925" t="str">
        <f t="shared" si="148"/>
        <v>2020/21</v>
      </c>
      <c r="E925" t="str">
        <f t="shared" si="149"/>
        <v/>
      </c>
      <c r="F925" t="s">
        <v>25</v>
      </c>
      <c r="G925" t="s">
        <v>22</v>
      </c>
      <c r="H925">
        <v>10397.08</v>
      </c>
      <c r="I925" t="str">
        <f t="shared" si="154"/>
        <v>Anchor Trust</v>
      </c>
      <c r="J925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926" spans="1:10" x14ac:dyDescent="0.35">
      <c r="A926" t="str">
        <f t="shared" si="150"/>
        <v>AUG</v>
      </c>
      <c r="B926" t="str">
        <f t="shared" si="147"/>
        <v>20</v>
      </c>
      <c r="C926" t="str">
        <f t="shared" si="148"/>
        <v>2020/21</v>
      </c>
      <c r="E926" t="str">
        <f t="shared" si="149"/>
        <v/>
      </c>
      <c r="F926" t="s">
        <v>25</v>
      </c>
      <c r="G926" t="s">
        <v>22</v>
      </c>
      <c r="H926">
        <v>-6399.6</v>
      </c>
      <c r="I926" t="str">
        <f t="shared" si="154"/>
        <v>Anchor Trust</v>
      </c>
      <c r="J926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927" spans="1:10" x14ac:dyDescent="0.35">
      <c r="A927" t="str">
        <f t="shared" si="150"/>
        <v>AUG</v>
      </c>
      <c r="B927" t="str">
        <f t="shared" si="147"/>
        <v>20</v>
      </c>
      <c r="C927" t="str">
        <f t="shared" si="148"/>
        <v>2020/21</v>
      </c>
      <c r="E927" t="str">
        <f t="shared" si="149"/>
        <v/>
      </c>
      <c r="F927" t="s">
        <v>25</v>
      </c>
      <c r="G927" t="s">
        <v>22</v>
      </c>
      <c r="H927">
        <v>-3545.76</v>
      </c>
      <c r="I927" t="str">
        <f t="shared" si="154"/>
        <v>Anchor Trust</v>
      </c>
      <c r="J927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928" spans="1:10" x14ac:dyDescent="0.35">
      <c r="A928" t="str">
        <f t="shared" si="150"/>
        <v>AUG</v>
      </c>
      <c r="B928" t="str">
        <f t="shared" si="147"/>
        <v>20</v>
      </c>
      <c r="C928" t="str">
        <f t="shared" si="148"/>
        <v>2020/21</v>
      </c>
      <c r="E928" t="str">
        <f t="shared" si="149"/>
        <v/>
      </c>
      <c r="F928" t="s">
        <v>25</v>
      </c>
      <c r="G928" t="s">
        <v>22</v>
      </c>
      <c r="H928">
        <v>21957.48</v>
      </c>
      <c r="I928" t="str">
        <f>"The Mayfield Trust"</f>
        <v>The Mayfield Trust</v>
      </c>
      <c r="J928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929" spans="1:10" x14ac:dyDescent="0.35">
      <c r="A929" t="str">
        <f t="shared" si="150"/>
        <v>AUG</v>
      </c>
      <c r="B929" t="str">
        <f t="shared" si="147"/>
        <v>20</v>
      </c>
      <c r="C929" t="str">
        <f t="shared" si="148"/>
        <v>2020/21</v>
      </c>
      <c r="E929" t="str">
        <f t="shared" si="149"/>
        <v/>
      </c>
      <c r="F929" t="s">
        <v>25</v>
      </c>
      <c r="G929" t="s">
        <v>22</v>
      </c>
      <c r="H929">
        <v>2554.12</v>
      </c>
      <c r="I929" t="str">
        <f>"Bridgewood Trust Ltd"</f>
        <v>Bridgewood Trust Ltd</v>
      </c>
      <c r="J929" t="str">
        <f t="shared" ref="J929:J934" si="155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930" spans="1:10" x14ac:dyDescent="0.35">
      <c r="A930" t="str">
        <f t="shared" si="150"/>
        <v>AUG</v>
      </c>
      <c r="B930" t="str">
        <f t="shared" si="147"/>
        <v>20</v>
      </c>
      <c r="C930" t="str">
        <f t="shared" si="148"/>
        <v>2020/21</v>
      </c>
      <c r="E930" t="str">
        <f t="shared" si="149"/>
        <v/>
      </c>
      <c r="F930" t="s">
        <v>25</v>
      </c>
      <c r="G930" t="s">
        <v>22</v>
      </c>
      <c r="H930">
        <v>13424.16</v>
      </c>
      <c r="I930" t="str">
        <f>"Bridgewood Trust Ltd"</f>
        <v>Bridgewood Trust Ltd</v>
      </c>
      <c r="J930" t="str">
        <f t="shared" si="155"/>
        <v>Residential Placements (Learning Disabilities)-Voluntary Home Voluntary Associations Agency And Contracted Services Residential &amp; Nursing Placem</v>
      </c>
    </row>
    <row r="931" spans="1:10" x14ac:dyDescent="0.35">
      <c r="A931" t="str">
        <f t="shared" si="150"/>
        <v>AUG</v>
      </c>
      <c r="B931" t="str">
        <f t="shared" si="147"/>
        <v>20</v>
      </c>
      <c r="C931" t="str">
        <f t="shared" si="148"/>
        <v>2020/21</v>
      </c>
      <c r="E931" t="str">
        <f t="shared" si="149"/>
        <v/>
      </c>
      <c r="F931" t="s">
        <v>25</v>
      </c>
      <c r="G931" t="s">
        <v>22</v>
      </c>
      <c r="H931">
        <v>1849.96</v>
      </c>
      <c r="I931" t="str">
        <f>"Bridgewood Trust Ltd"</f>
        <v>Bridgewood Trust Ltd</v>
      </c>
      <c r="J931" t="str">
        <f t="shared" si="155"/>
        <v>Residential Placements (Learning Disabilities)-Voluntary Home Voluntary Associations Agency And Contracted Services Residential &amp; Nursing Placem</v>
      </c>
    </row>
    <row r="932" spans="1:10" x14ac:dyDescent="0.35">
      <c r="A932" t="str">
        <f t="shared" si="150"/>
        <v>AUG</v>
      </c>
      <c r="B932" t="str">
        <f t="shared" si="147"/>
        <v>20</v>
      </c>
      <c r="C932" t="str">
        <f t="shared" si="148"/>
        <v>2020/21</v>
      </c>
      <c r="E932" t="str">
        <f t="shared" si="149"/>
        <v/>
      </c>
      <c r="F932" t="s">
        <v>25</v>
      </c>
      <c r="G932" t="s">
        <v>22</v>
      </c>
      <c r="H932">
        <v>2138.2399999999998</v>
      </c>
      <c r="I932" t="str">
        <f>"Bridgewood Trust Ltd"</f>
        <v>Bridgewood Trust Ltd</v>
      </c>
      <c r="J932" t="str">
        <f t="shared" si="155"/>
        <v>Residential Placements (Learning Disabilities)-Voluntary Home Voluntary Associations Agency And Contracted Services Residential &amp; Nursing Placem</v>
      </c>
    </row>
    <row r="933" spans="1:10" x14ac:dyDescent="0.35">
      <c r="A933" t="str">
        <f t="shared" si="150"/>
        <v>AUG</v>
      </c>
      <c r="B933" t="str">
        <f t="shared" si="147"/>
        <v>20</v>
      </c>
      <c r="C933" t="str">
        <f t="shared" si="148"/>
        <v>2020/21</v>
      </c>
      <c r="E933" t="str">
        <f t="shared" si="149"/>
        <v/>
      </c>
      <c r="F933" t="s">
        <v>25</v>
      </c>
      <c r="G933" t="s">
        <v>22</v>
      </c>
      <c r="H933">
        <v>27764.48</v>
      </c>
      <c r="I933" t="str">
        <f>"Bridgewood Trust Ltd"</f>
        <v>Bridgewood Trust Ltd</v>
      </c>
      <c r="J933" t="str">
        <f t="shared" si="155"/>
        <v>Residential Placements (Learning Disabilities)-Voluntary Home Voluntary Associations Agency And Contracted Services Residential &amp; Nursing Placem</v>
      </c>
    </row>
    <row r="934" spans="1:10" x14ac:dyDescent="0.35">
      <c r="A934" t="str">
        <f t="shared" si="150"/>
        <v>AUG</v>
      </c>
      <c r="B934" t="str">
        <f t="shared" si="147"/>
        <v>20</v>
      </c>
      <c r="C934" t="str">
        <f t="shared" si="148"/>
        <v>2020/21</v>
      </c>
      <c r="E934" t="str">
        <f t="shared" si="149"/>
        <v/>
      </c>
      <c r="F934" t="s">
        <v>25</v>
      </c>
      <c r="G934" t="s">
        <v>22</v>
      </c>
      <c r="H934">
        <v>6882.04</v>
      </c>
      <c r="I934" t="str">
        <f>"The Mayfield Trust"</f>
        <v>The Mayfield Trust</v>
      </c>
      <c r="J934" t="str">
        <f t="shared" si="155"/>
        <v>Residential Placements (Learning Disabilities)-Voluntary Home Voluntary Associations Agency And Contracted Services Residential &amp; Nursing Placem</v>
      </c>
    </row>
    <row r="935" spans="1:10" x14ac:dyDescent="0.35">
      <c r="A935" t="str">
        <f t="shared" ref="A935:A956" si="156">"AUG"</f>
        <v>AUG</v>
      </c>
      <c r="B935" t="str">
        <f t="shared" si="147"/>
        <v>20</v>
      </c>
      <c r="C935" t="str">
        <f t="shared" si="148"/>
        <v>2020/21</v>
      </c>
      <c r="D935" t="str">
        <f>"SS AD 115164"</f>
        <v>SS AD 115164</v>
      </c>
      <c r="E935" t="str">
        <f t="shared" si="149"/>
        <v>SS</v>
      </c>
      <c r="F935" t="s">
        <v>25</v>
      </c>
      <c r="G935" t="s">
        <v>22</v>
      </c>
      <c r="H935">
        <v>5778.35</v>
      </c>
      <c r="I935" t="str">
        <f>"Bridgewood Trust Ltd"</f>
        <v>Bridgewood Trust Ltd</v>
      </c>
      <c r="J935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936" spans="1:10" x14ac:dyDescent="0.35">
      <c r="A936" t="str">
        <f t="shared" si="156"/>
        <v>AUG</v>
      </c>
      <c r="B936" t="str">
        <f t="shared" si="147"/>
        <v>20</v>
      </c>
      <c r="C936" t="str">
        <f t="shared" si="148"/>
        <v>2020/21</v>
      </c>
      <c r="D936" t="str">
        <f>"SS AD 115192"</f>
        <v>SS AD 115192</v>
      </c>
      <c r="E936" t="str">
        <f t="shared" si="149"/>
        <v>SS</v>
      </c>
      <c r="F936" t="s">
        <v>25</v>
      </c>
      <c r="G936" t="s">
        <v>22</v>
      </c>
      <c r="H936">
        <v>2407.65</v>
      </c>
      <c r="I936" t="str">
        <f>"Bridgewood Trust Ltd"</f>
        <v>Bridgewood Trust Ltd</v>
      </c>
      <c r="J936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937" spans="1:10" x14ac:dyDescent="0.35">
      <c r="A937" t="str">
        <f t="shared" si="156"/>
        <v>AUG</v>
      </c>
      <c r="B937" t="str">
        <f t="shared" si="147"/>
        <v>20</v>
      </c>
      <c r="C937" t="str">
        <f t="shared" si="148"/>
        <v>2020/21</v>
      </c>
      <c r="D937" t="str">
        <f>"SS AD 115190"</f>
        <v>SS AD 115190</v>
      </c>
      <c r="E937" t="str">
        <f t="shared" si="149"/>
        <v>SS</v>
      </c>
      <c r="F937" t="s">
        <v>25</v>
      </c>
      <c r="G937" t="s">
        <v>22</v>
      </c>
      <c r="H937">
        <v>2889.18</v>
      </c>
      <c r="I937" t="str">
        <f>"Bridgewood Trust Ltd"</f>
        <v>Bridgewood Trust Ltd</v>
      </c>
      <c r="J937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938" spans="1:10" x14ac:dyDescent="0.35">
      <c r="A938" t="str">
        <f t="shared" si="156"/>
        <v>AUG</v>
      </c>
      <c r="B938" t="str">
        <f t="shared" si="147"/>
        <v>20</v>
      </c>
      <c r="C938" t="str">
        <f t="shared" si="148"/>
        <v>2020/21</v>
      </c>
      <c r="D938" t="str">
        <f>"SS AD 115155"</f>
        <v>SS AD 115155</v>
      </c>
      <c r="E938" t="str">
        <f t="shared" si="149"/>
        <v>SS</v>
      </c>
      <c r="F938" t="s">
        <v>25</v>
      </c>
      <c r="G938" t="s">
        <v>22</v>
      </c>
      <c r="H938">
        <v>4815.29</v>
      </c>
      <c r="I938" t="str">
        <f>"The Mayfield Trust"</f>
        <v>The Mayfield Trust</v>
      </c>
      <c r="J938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939" spans="1:10" x14ac:dyDescent="0.35">
      <c r="A939" t="str">
        <f t="shared" si="156"/>
        <v>AUG</v>
      </c>
      <c r="B939" t="str">
        <f t="shared" si="147"/>
        <v>20</v>
      </c>
      <c r="C939" t="str">
        <f t="shared" si="148"/>
        <v>2020/21</v>
      </c>
      <c r="D939" t="str">
        <f>"SS AD 115159"</f>
        <v>SS AD 115159</v>
      </c>
      <c r="E939" t="str">
        <f t="shared" si="149"/>
        <v>SS</v>
      </c>
      <c r="F939" t="s">
        <v>25</v>
      </c>
      <c r="G939" t="s">
        <v>22</v>
      </c>
      <c r="H939">
        <v>1444.59</v>
      </c>
      <c r="I939" t="str">
        <f>"The Next Step Trust"</f>
        <v>The Next Step Trust</v>
      </c>
      <c r="J939" t="str">
        <f>"DoH COVID-19 Infection Control Grant - Round 1 Private Contractors Agency And Contracted Services Residential &amp; Nursing Placements (Learning Dis"</f>
        <v>DoH COVID-19 Infection Control Grant - Round 1 Private Contractors Agency And Contracted Services Residential &amp; Nursing Placements (Learning Dis</v>
      </c>
    </row>
    <row r="940" spans="1:10" x14ac:dyDescent="0.35">
      <c r="A940" t="str">
        <f t="shared" si="156"/>
        <v>AUG</v>
      </c>
      <c r="B940" t="str">
        <f t="shared" si="147"/>
        <v>20</v>
      </c>
      <c r="C940" t="str">
        <f t="shared" si="148"/>
        <v>2020/21</v>
      </c>
      <c r="E940" t="str">
        <f t="shared" si="149"/>
        <v/>
      </c>
      <c r="F940" t="s">
        <v>25</v>
      </c>
      <c r="G940" t="s">
        <v>22</v>
      </c>
      <c r="H940">
        <v>6529.68</v>
      </c>
      <c r="I940" t="str">
        <f>"Henshaws Society For Blind People re Red Admiral"</f>
        <v>Henshaws Society For Blind People re Red Admiral</v>
      </c>
      <c r="J940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941" spans="1:10" x14ac:dyDescent="0.35">
      <c r="A941" t="str">
        <f t="shared" si="156"/>
        <v>AUG</v>
      </c>
      <c r="B941" t="str">
        <f t="shared" si="147"/>
        <v>20</v>
      </c>
      <c r="C941" t="str">
        <f t="shared" si="148"/>
        <v>2020/21</v>
      </c>
      <c r="E941" t="str">
        <f t="shared" si="149"/>
        <v/>
      </c>
      <c r="F941" t="s">
        <v>25</v>
      </c>
      <c r="G941" t="s">
        <v>22</v>
      </c>
      <c r="H941">
        <v>-1269</v>
      </c>
      <c r="I941" t="str">
        <f>"The Mayfield Trust"</f>
        <v>The Mayfield Trust</v>
      </c>
      <c r="J941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942" spans="1:10" x14ac:dyDescent="0.35">
      <c r="A942" t="str">
        <f t="shared" si="156"/>
        <v>AUG</v>
      </c>
      <c r="B942" t="str">
        <f t="shared" si="147"/>
        <v>20</v>
      </c>
      <c r="C942" t="str">
        <f t="shared" si="148"/>
        <v>2020/21</v>
      </c>
      <c r="E942" t="str">
        <f t="shared" si="149"/>
        <v/>
      </c>
      <c r="F942" t="s">
        <v>25</v>
      </c>
      <c r="G942" t="s">
        <v>22</v>
      </c>
      <c r="H942">
        <v>-423</v>
      </c>
      <c r="I942" t="str">
        <f>"Bridgewood Trust Ltd"</f>
        <v>Bridgewood Trust Ltd</v>
      </c>
      <c r="J942" t="str">
        <f t="shared" ref="J942:J948" si="157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943" spans="1:10" x14ac:dyDescent="0.35">
      <c r="A943" t="str">
        <f t="shared" si="156"/>
        <v>AUG</v>
      </c>
      <c r="B943" t="str">
        <f t="shared" si="147"/>
        <v>20</v>
      </c>
      <c r="C943" t="str">
        <f t="shared" si="148"/>
        <v>2020/21</v>
      </c>
      <c r="E943" t="str">
        <f t="shared" si="149"/>
        <v/>
      </c>
      <c r="F943" t="s">
        <v>25</v>
      </c>
      <c r="G943" t="s">
        <v>22</v>
      </c>
      <c r="H943">
        <v>-1692</v>
      </c>
      <c r="I943" t="str">
        <f>"Bridgewood Trust Ltd"</f>
        <v>Bridgewood Trust Ltd</v>
      </c>
      <c r="J943" t="str">
        <f t="shared" si="157"/>
        <v>Residential - Income Residential Placements Customer And Client Receipts Income Residential &amp; Nursing Placements (Learning Dis) Adult Health &amp; S</v>
      </c>
    </row>
    <row r="944" spans="1:10" x14ac:dyDescent="0.35">
      <c r="A944" t="str">
        <f t="shared" si="156"/>
        <v>AUG</v>
      </c>
      <c r="B944" t="str">
        <f t="shared" si="147"/>
        <v>20</v>
      </c>
      <c r="C944" t="str">
        <f t="shared" si="148"/>
        <v>2020/21</v>
      </c>
      <c r="E944" t="str">
        <f t="shared" si="149"/>
        <v/>
      </c>
      <c r="F944" t="s">
        <v>25</v>
      </c>
      <c r="G944" t="s">
        <v>22</v>
      </c>
      <c r="H944">
        <v>-595.4</v>
      </c>
      <c r="I944" t="str">
        <f>"Bridgewood Trust Ltd"</f>
        <v>Bridgewood Trust Ltd</v>
      </c>
      <c r="J944" t="str">
        <f t="shared" si="157"/>
        <v>Residential - Income Residential Placements Customer And Client Receipts Income Residential &amp; Nursing Placements (Learning Dis) Adult Health &amp; S</v>
      </c>
    </row>
    <row r="945" spans="1:10" x14ac:dyDescent="0.35">
      <c r="A945" t="str">
        <f t="shared" si="156"/>
        <v>AUG</v>
      </c>
      <c r="B945" t="str">
        <f t="shared" si="147"/>
        <v>20</v>
      </c>
      <c r="C945" t="str">
        <f t="shared" si="148"/>
        <v>2020/21</v>
      </c>
      <c r="E945" t="str">
        <f t="shared" si="149"/>
        <v/>
      </c>
      <c r="F945" t="s">
        <v>25</v>
      </c>
      <c r="G945" t="s">
        <v>22</v>
      </c>
      <c r="H945">
        <v>-423</v>
      </c>
      <c r="I945" t="str">
        <f>"Bridgewood Trust Ltd"</f>
        <v>Bridgewood Trust Ltd</v>
      </c>
      <c r="J945" t="str">
        <f t="shared" si="157"/>
        <v>Residential - Income Residential Placements Customer And Client Receipts Income Residential &amp; Nursing Placements (Learning Dis) Adult Health &amp; S</v>
      </c>
    </row>
    <row r="946" spans="1:10" x14ac:dyDescent="0.35">
      <c r="A946" t="str">
        <f t="shared" si="156"/>
        <v>AUG</v>
      </c>
      <c r="B946" t="str">
        <f t="shared" si="147"/>
        <v>20</v>
      </c>
      <c r="C946" t="str">
        <f t="shared" si="148"/>
        <v>2020/21</v>
      </c>
      <c r="E946" t="str">
        <f t="shared" si="149"/>
        <v/>
      </c>
      <c r="F946" t="s">
        <v>25</v>
      </c>
      <c r="G946" t="s">
        <v>22</v>
      </c>
      <c r="H946">
        <v>-4483.72</v>
      </c>
      <c r="I946" t="str">
        <f>"Bridgewood Trust Ltd"</f>
        <v>Bridgewood Trust Ltd</v>
      </c>
      <c r="J946" t="str">
        <f t="shared" si="157"/>
        <v>Residential - Income Residential Placements Customer And Client Receipts Income Residential &amp; Nursing Placements (Learning Dis) Adult Health &amp; S</v>
      </c>
    </row>
    <row r="947" spans="1:10" x14ac:dyDescent="0.35">
      <c r="A947" t="str">
        <f t="shared" si="156"/>
        <v>AUG</v>
      </c>
      <c r="B947" t="str">
        <f t="shared" si="147"/>
        <v>20</v>
      </c>
      <c r="C947" t="str">
        <f t="shared" si="148"/>
        <v>2020/21</v>
      </c>
      <c r="E947" t="str">
        <f t="shared" si="149"/>
        <v/>
      </c>
      <c r="F947" t="s">
        <v>25</v>
      </c>
      <c r="G947" t="s">
        <v>22</v>
      </c>
      <c r="H947">
        <v>-459</v>
      </c>
      <c r="I947" t="str">
        <f>"The Mayfield Trust"</f>
        <v>The Mayfield Trust</v>
      </c>
      <c r="J947" t="str">
        <f t="shared" si="157"/>
        <v>Residential - Income Residential Placements Customer And Client Receipts Income Residential &amp; Nursing Placements (Learning Dis) Adult Health &amp; S</v>
      </c>
    </row>
    <row r="948" spans="1:10" x14ac:dyDescent="0.35">
      <c r="A948" t="str">
        <f t="shared" si="156"/>
        <v>AUG</v>
      </c>
      <c r="B948" t="str">
        <f t="shared" si="147"/>
        <v>20</v>
      </c>
      <c r="C948" t="str">
        <f t="shared" si="148"/>
        <v>2020/21</v>
      </c>
      <c r="E948" t="str">
        <f t="shared" si="149"/>
        <v/>
      </c>
      <c r="F948" t="s">
        <v>25</v>
      </c>
      <c r="G948" t="s">
        <v>22</v>
      </c>
      <c r="H948">
        <v>-423</v>
      </c>
      <c r="I948" t="str">
        <f>"Henshaws Society For Blind People re Red Admiral"</f>
        <v>Henshaws Society For Blind People re Red Admiral</v>
      </c>
      <c r="J948" t="str">
        <f t="shared" si="157"/>
        <v>Residential - Income Residential Placements Customer And Client Receipts Income Residential &amp; Nursing Placements (Learning Dis) Adult Health &amp; S</v>
      </c>
    </row>
    <row r="949" spans="1:10" x14ac:dyDescent="0.35">
      <c r="A949" t="str">
        <f t="shared" si="156"/>
        <v>AUG</v>
      </c>
      <c r="B949" t="str">
        <f t="shared" si="147"/>
        <v>20</v>
      </c>
      <c r="C949" t="str">
        <f t="shared" si="148"/>
        <v>2020/21</v>
      </c>
      <c r="D949" t="str">
        <f>"SS SL 114855"</f>
        <v>SS SL 114855</v>
      </c>
      <c r="E949" t="str">
        <f t="shared" si="149"/>
        <v>SS</v>
      </c>
      <c r="F949" t="s">
        <v>25</v>
      </c>
      <c r="G949" t="s">
        <v>22</v>
      </c>
      <c r="H949">
        <v>2639.4</v>
      </c>
      <c r="I949" t="str">
        <f>"The Mayfield Trust"</f>
        <v>The Mayfield Trust</v>
      </c>
      <c r="J949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950" spans="1:10" x14ac:dyDescent="0.35">
      <c r="A950" t="str">
        <f t="shared" si="156"/>
        <v>AUG</v>
      </c>
      <c r="B950" t="str">
        <f t="shared" si="147"/>
        <v>20</v>
      </c>
      <c r="C950" t="str">
        <f t="shared" si="148"/>
        <v>2020/21</v>
      </c>
      <c r="D950" t="str">
        <f>"SS CO 113260"</f>
        <v>SS CO 113260</v>
      </c>
      <c r="E950" t="str">
        <f t="shared" si="149"/>
        <v>SS</v>
      </c>
      <c r="F950" t="s">
        <v>25</v>
      </c>
      <c r="G950" t="s">
        <v>22</v>
      </c>
      <c r="H950">
        <v>15922.58</v>
      </c>
      <c r="I950" t="str">
        <f>"Alzheimers Society"</f>
        <v>Alzheimers Society</v>
      </c>
      <c r="J950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951" spans="1:10" x14ac:dyDescent="0.35">
      <c r="A951" t="str">
        <f t="shared" si="156"/>
        <v>AUG</v>
      </c>
      <c r="B951" t="str">
        <f t="shared" si="147"/>
        <v>20</v>
      </c>
      <c r="C951" t="str">
        <f t="shared" si="148"/>
        <v>2020/21</v>
      </c>
      <c r="D951" t="str">
        <f>"SS CO 113850"</f>
        <v>SS CO 113850</v>
      </c>
      <c r="E951" t="str">
        <f t="shared" si="149"/>
        <v>SS</v>
      </c>
      <c r="F951" t="s">
        <v>25</v>
      </c>
      <c r="G951" t="s">
        <v>22</v>
      </c>
      <c r="H951">
        <v>18016.669999999998</v>
      </c>
      <c r="I951" t="str">
        <f>"Cloverleaf Advocacy 2000 Ltd"</f>
        <v>Cloverleaf Advocacy 2000 Ltd</v>
      </c>
      <c r="J951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952" spans="1:10" x14ac:dyDescent="0.35">
      <c r="A952" t="str">
        <f t="shared" si="156"/>
        <v>AUG</v>
      </c>
      <c r="B952" t="str">
        <f t="shared" si="147"/>
        <v>20</v>
      </c>
      <c r="C952" t="str">
        <f t="shared" si="148"/>
        <v>2020/21</v>
      </c>
      <c r="D952" t="str">
        <f>"SS CO 113368"</f>
        <v>SS CO 113368</v>
      </c>
      <c r="E952" t="str">
        <f t="shared" si="149"/>
        <v>SS</v>
      </c>
      <c r="F952" t="s">
        <v>25</v>
      </c>
      <c r="G952" t="s">
        <v>22</v>
      </c>
      <c r="H952">
        <v>2425</v>
      </c>
      <c r="I952" t="str">
        <f>"Anchor Trust"</f>
        <v>Anchor Trust</v>
      </c>
      <c r="J952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953" spans="1:10" x14ac:dyDescent="0.35">
      <c r="A953" t="str">
        <f t="shared" si="156"/>
        <v>AUG</v>
      </c>
      <c r="B953" t="str">
        <f t="shared" si="147"/>
        <v>20</v>
      </c>
      <c r="C953" t="str">
        <f t="shared" si="148"/>
        <v>2020/21</v>
      </c>
      <c r="D953" t="str">
        <f>"SS CO 113368"</f>
        <v>SS CO 113368</v>
      </c>
      <c r="E953" t="str">
        <f t="shared" si="149"/>
        <v>SS</v>
      </c>
      <c r="F953" t="s">
        <v>25</v>
      </c>
      <c r="G953" t="s">
        <v>22</v>
      </c>
      <c r="H953">
        <v>1773.12</v>
      </c>
      <c r="I953" t="str">
        <f>"Anchor Trust"</f>
        <v>Anchor Trust</v>
      </c>
      <c r="J953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954" spans="1:10" x14ac:dyDescent="0.35">
      <c r="A954" t="str">
        <f t="shared" si="156"/>
        <v>AUG</v>
      </c>
      <c r="B954" t="str">
        <f t="shared" si="147"/>
        <v>20</v>
      </c>
      <c r="C954" t="str">
        <f t="shared" si="148"/>
        <v>2020/21</v>
      </c>
      <c r="D954" t="str">
        <f>"SS CO 113368"</f>
        <v>SS CO 113368</v>
      </c>
      <c r="E954" t="str">
        <f t="shared" si="149"/>
        <v>SS</v>
      </c>
      <c r="F954" t="s">
        <v>25</v>
      </c>
      <c r="G954" t="s">
        <v>22</v>
      </c>
      <c r="H954">
        <v>1121.24</v>
      </c>
      <c r="I954" t="str">
        <f>"Anchor Trust"</f>
        <v>Anchor Trust</v>
      </c>
      <c r="J954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955" spans="1:10" x14ac:dyDescent="0.35">
      <c r="A955" t="str">
        <f t="shared" si="156"/>
        <v>AUG</v>
      </c>
      <c r="B955" t="str">
        <f t="shared" si="147"/>
        <v>20</v>
      </c>
      <c r="C955" t="str">
        <f t="shared" si="148"/>
        <v>2020/21</v>
      </c>
      <c r="D955" t="str">
        <f>"SS CO 113367"</f>
        <v>SS CO 113367</v>
      </c>
      <c r="E955" t="str">
        <f t="shared" si="149"/>
        <v>SS</v>
      </c>
      <c r="F955" t="s">
        <v>25</v>
      </c>
      <c r="G955" t="s">
        <v>22</v>
      </c>
      <c r="H955">
        <v>5708.2</v>
      </c>
      <c r="I955" t="str">
        <f>"Cloverleaf Advocacy 2000 Ltd"</f>
        <v>Cloverleaf Advocacy 2000 Ltd</v>
      </c>
      <c r="J955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956" spans="1:10" x14ac:dyDescent="0.35">
      <c r="A956" t="str">
        <f t="shared" si="156"/>
        <v>AUG</v>
      </c>
      <c r="B956" t="str">
        <f t="shared" si="147"/>
        <v>20</v>
      </c>
      <c r="C956" t="str">
        <f t="shared" si="148"/>
        <v>2020/21</v>
      </c>
      <c r="D956" t="str">
        <f>"SS CO 112761"</f>
        <v>SS CO 112761</v>
      </c>
      <c r="E956" t="str">
        <f t="shared" si="149"/>
        <v>SS</v>
      </c>
      <c r="F956" t="s">
        <v>25</v>
      </c>
      <c r="G956" t="s">
        <v>22</v>
      </c>
      <c r="H956">
        <v>7402.25</v>
      </c>
      <c r="I956" t="str">
        <f>"The Stroke Association"</f>
        <v>The Stroke Association</v>
      </c>
      <c r="J956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957" spans="1:10" x14ac:dyDescent="0.35">
      <c r="A957" t="str">
        <f t="shared" ref="A957:A1020" si="158">"SEP"</f>
        <v>SEP</v>
      </c>
      <c r="B957" t="str">
        <f t="shared" si="147"/>
        <v>20</v>
      </c>
      <c r="C957" t="str">
        <f t="shared" si="148"/>
        <v>2020/21</v>
      </c>
      <c r="D957" t="str">
        <f>"LS NE 205822"</f>
        <v>LS NE 205822</v>
      </c>
      <c r="E957" t="str">
        <f t="shared" si="149"/>
        <v>LS</v>
      </c>
      <c r="F957" t="s">
        <v>13</v>
      </c>
      <c r="G957" t="s">
        <v>14</v>
      </c>
      <c r="H957">
        <v>500</v>
      </c>
      <c r="I957" t="str">
        <f>"Hebden Bridge Flood Action Group"</f>
        <v>Hebden Bridge Flood Action Group</v>
      </c>
      <c r="J957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958" spans="1:10" x14ac:dyDescent="0.35">
      <c r="A958" t="str">
        <f t="shared" si="158"/>
        <v>SEP</v>
      </c>
      <c r="B958" t="str">
        <f t="shared" si="147"/>
        <v>20</v>
      </c>
      <c r="C958" t="str">
        <f t="shared" si="148"/>
        <v>2020/21</v>
      </c>
      <c r="D958" t="str">
        <f>"LS NE 205963"</f>
        <v>LS NE 205963</v>
      </c>
      <c r="E958" t="str">
        <f t="shared" si="149"/>
        <v>LS</v>
      </c>
      <c r="F958" t="s">
        <v>13</v>
      </c>
      <c r="G958" t="s">
        <v>14</v>
      </c>
      <c r="H958">
        <v>500</v>
      </c>
      <c r="I958" t="str">
        <f>"Overgate Hospice"</f>
        <v>Overgate Hospice</v>
      </c>
      <c r="J958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959" spans="1:10" x14ac:dyDescent="0.35">
      <c r="A959" t="str">
        <f t="shared" si="158"/>
        <v>SEP</v>
      </c>
      <c r="B959" t="str">
        <f t="shared" si="147"/>
        <v>20</v>
      </c>
      <c r="C959" t="str">
        <f t="shared" si="148"/>
        <v>2020/21</v>
      </c>
      <c r="D959" t="str">
        <f>"LS CS 205872"</f>
        <v>LS CS 205872</v>
      </c>
      <c r="E959" t="str">
        <f t="shared" si="149"/>
        <v>LS</v>
      </c>
      <c r="F959" t="s">
        <v>13</v>
      </c>
      <c r="G959" t="s">
        <v>14</v>
      </c>
      <c r="H959">
        <v>795</v>
      </c>
      <c r="I959" t="str">
        <f>"Association Of Town Centre Management"</f>
        <v>Association Of Town Centre Management</v>
      </c>
      <c r="J959" t="str">
        <f>"Purple Flag &amp; Festive Initiative Grants And Subscriptions Supplies And Services Community Safety Partnership Community Safety &amp; Support"</f>
        <v>Purple Flag &amp; Festive Initiative Grants And Subscriptions Supplies And Services Community Safety Partnership Community Safety &amp; Support</v>
      </c>
    </row>
    <row r="960" spans="1:10" x14ac:dyDescent="0.35">
      <c r="A960" t="str">
        <f t="shared" si="158"/>
        <v>SEP</v>
      </c>
      <c r="B960" t="str">
        <f t="shared" si="147"/>
        <v>20</v>
      </c>
      <c r="C960" t="str">
        <f t="shared" si="148"/>
        <v>2020/21</v>
      </c>
      <c r="D960" t="str">
        <f>"CA FM 006590"</f>
        <v>CA FM 006590</v>
      </c>
      <c r="E960" t="str">
        <f t="shared" si="149"/>
        <v>CA</v>
      </c>
      <c r="F960" t="s">
        <v>17</v>
      </c>
      <c r="G960" t="s">
        <v>18</v>
      </c>
      <c r="H960">
        <v>968</v>
      </c>
      <c r="I960" t="str">
        <f>"Hebden Bridge Community Association"</f>
        <v>Hebden Bridge Community Association</v>
      </c>
      <c r="J960" t="str">
        <f>"Rent of Hebden Br Council Offices from HBCA Rent And Rates Premises And Related Expenses Policy and Voluntary Sector Economy and Investment"</f>
        <v>Rent of Hebden Br Council Offices from HBCA Rent And Rates Premises And Related Expenses Policy and Voluntary Sector Economy and Investment</v>
      </c>
    </row>
    <row r="961" spans="1:10" x14ac:dyDescent="0.35">
      <c r="A961" t="str">
        <f t="shared" si="158"/>
        <v>SEP</v>
      </c>
      <c r="B961" t="str">
        <f t="shared" si="147"/>
        <v>20</v>
      </c>
      <c r="C961" t="str">
        <f t="shared" si="148"/>
        <v>2020/21</v>
      </c>
      <c r="D961" t="str">
        <f>"LS GV 205016"</f>
        <v>LS GV 205016</v>
      </c>
      <c r="E961" t="str">
        <f t="shared" si="149"/>
        <v>LS</v>
      </c>
      <c r="F961" t="s">
        <v>17</v>
      </c>
      <c r="G961" t="s">
        <v>18</v>
      </c>
      <c r="H961">
        <v>21250</v>
      </c>
      <c r="I961" t="str">
        <f>"Voluntary Action Calderdale"</f>
        <v>Voluntary Action Calderdale</v>
      </c>
      <c r="J961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962" spans="1:10" x14ac:dyDescent="0.35">
      <c r="A962" t="str">
        <f t="shared" si="158"/>
        <v>SEP</v>
      </c>
      <c r="B962" t="str">
        <f t="shared" ref="B962:B1025" si="159">"20"</f>
        <v>20</v>
      </c>
      <c r="C962" t="str">
        <f t="shared" ref="C962:C1025" si="160">"2020/21"</f>
        <v>2020/21</v>
      </c>
      <c r="D962" t="str">
        <f>"LS GV 205809"</f>
        <v>LS GV 205809</v>
      </c>
      <c r="E962" t="str">
        <f t="shared" ref="E962:E1025" si="161">LEFT(D962,2)</f>
        <v>LS</v>
      </c>
      <c r="F962" t="s">
        <v>17</v>
      </c>
      <c r="G962" t="s">
        <v>18</v>
      </c>
      <c r="H962">
        <v>20000</v>
      </c>
      <c r="I962" t="str">
        <f>"Todmorden Food Drop In"</f>
        <v>Todmorden Food Drop In</v>
      </c>
      <c r="J962" t="str">
        <f>"Food banks - Todmorden Grants And Subscriptions Supplies And Services COVID19 - DEFRA Emergency Assistance Grant Economy and Investment"</f>
        <v>Food banks - Todmorden Grants And Subscriptions Supplies And Services COVID19 - DEFRA Emergency Assistance Grant Economy and Investment</v>
      </c>
    </row>
    <row r="963" spans="1:10" x14ac:dyDescent="0.35">
      <c r="A963" t="str">
        <f t="shared" si="158"/>
        <v>SEP</v>
      </c>
      <c r="B963" t="str">
        <f t="shared" si="159"/>
        <v>20</v>
      </c>
      <c r="C963" t="str">
        <f t="shared" si="160"/>
        <v>2020/21</v>
      </c>
      <c r="D963" t="str">
        <f>"LS GV 205838"</f>
        <v>LS GV 205838</v>
      </c>
      <c r="E963" t="str">
        <f t="shared" si="161"/>
        <v>LS</v>
      </c>
      <c r="F963" t="s">
        <v>17</v>
      </c>
      <c r="G963" t="s">
        <v>18</v>
      </c>
      <c r="H963">
        <v>12000</v>
      </c>
      <c r="I963" t="str">
        <f>"North Halifax Partnership Ltd"</f>
        <v>North Halifax Partnership Ltd</v>
      </c>
      <c r="J963" t="str">
        <f>"Food banks - NHP Grants And Subscriptions Supplies And Services COVID19 - DEFRA Emergency Assistance Grant Economy and Investment"</f>
        <v>Food banks - NHP Grants And Subscriptions Supplies And Services COVID19 - DEFRA Emergency Assistance Grant Economy and Investment</v>
      </c>
    </row>
    <row r="964" spans="1:10" x14ac:dyDescent="0.35">
      <c r="A964" t="str">
        <f t="shared" si="158"/>
        <v>SEP</v>
      </c>
      <c r="B964" t="str">
        <f t="shared" si="159"/>
        <v>20</v>
      </c>
      <c r="C964" t="str">
        <f t="shared" si="160"/>
        <v>2020/21</v>
      </c>
      <c r="D964" t="str">
        <f>"LS GV 205839"</f>
        <v>LS GV 205839</v>
      </c>
      <c r="E964" t="str">
        <f t="shared" si="161"/>
        <v>LS</v>
      </c>
      <c r="F964" t="s">
        <v>17</v>
      </c>
      <c r="G964" t="s">
        <v>18</v>
      </c>
      <c r="H964">
        <v>15000</v>
      </c>
      <c r="I964" t="str">
        <f>"Halifax Opportunities Trust"</f>
        <v>Halifax Opportunities Trust</v>
      </c>
      <c r="J964" t="str">
        <f>"Food banks - HOTS Grants And Subscriptions Supplies And Services COVID19 - DEFRA Emergency Assistance Grant Economy and Investment"</f>
        <v>Food banks - HOTS Grants And Subscriptions Supplies And Services COVID19 - DEFRA Emergency Assistance Grant Economy and Investment</v>
      </c>
    </row>
    <row r="965" spans="1:10" x14ac:dyDescent="0.35">
      <c r="A965" t="str">
        <f t="shared" si="158"/>
        <v>SEP</v>
      </c>
      <c r="B965" t="str">
        <f t="shared" si="159"/>
        <v>20</v>
      </c>
      <c r="C965" t="str">
        <f t="shared" si="160"/>
        <v>2020/21</v>
      </c>
      <c r="D965" t="str">
        <f>"LS GV 205808"</f>
        <v>LS GV 205808</v>
      </c>
      <c r="E965" t="str">
        <f t="shared" si="161"/>
        <v>LS</v>
      </c>
      <c r="F965" t="s">
        <v>17</v>
      </c>
      <c r="G965" t="s">
        <v>18</v>
      </c>
      <c r="H965">
        <v>71000</v>
      </c>
      <c r="I965" t="str">
        <f>"Community Foundation for Calderdale"</f>
        <v>Community Foundation for Calderdale</v>
      </c>
      <c r="J965" t="str">
        <f>"Community Foundation for Calderdale Grants And Subscriptions Supplies And Services COVID19 - DEFRA Emergency Assistance Grant Economy and Invest"</f>
        <v>Community Foundation for Calderdale Grants And Subscriptions Supplies And Services COVID19 - DEFRA Emergency Assistance Grant Economy and Invest</v>
      </c>
    </row>
    <row r="966" spans="1:10" x14ac:dyDescent="0.35">
      <c r="A966" t="str">
        <f t="shared" si="158"/>
        <v>SEP</v>
      </c>
      <c r="B966" t="str">
        <f t="shared" si="159"/>
        <v>20</v>
      </c>
      <c r="C966" t="str">
        <f t="shared" si="160"/>
        <v>2020/21</v>
      </c>
      <c r="D966" t="str">
        <f>"TF CI 000681"</f>
        <v>TF CI 000681</v>
      </c>
      <c r="E966" t="str">
        <f t="shared" si="161"/>
        <v>TF</v>
      </c>
      <c r="F966" t="s">
        <v>17</v>
      </c>
      <c r="G966" t="s">
        <v>18</v>
      </c>
      <c r="H966">
        <v>432.83</v>
      </c>
      <c r="I966" t="str">
        <f>"The Piece Hall Trust"</f>
        <v>The Piece Hall Trust</v>
      </c>
      <c r="J966" t="str">
        <f>"Rent Rent And Rates Premises And Related Expenses Halifax TIC Economy and Investment"</f>
        <v>Rent Rent And Rates Premises And Related Expenses Halifax TIC Economy and Investment</v>
      </c>
    </row>
    <row r="967" spans="1:10" x14ac:dyDescent="0.35">
      <c r="A967" t="str">
        <f t="shared" si="158"/>
        <v>SEP</v>
      </c>
      <c r="B967" t="str">
        <f t="shared" si="159"/>
        <v>20</v>
      </c>
      <c r="C967" t="str">
        <f t="shared" si="160"/>
        <v>2020/21</v>
      </c>
      <c r="D967" t="str">
        <f>"SC CK 215400"</f>
        <v>SC CK 215400</v>
      </c>
      <c r="E967" t="str">
        <f t="shared" si="161"/>
        <v>SC</v>
      </c>
      <c r="F967" t="s">
        <v>21</v>
      </c>
      <c r="G967" t="s">
        <v>22</v>
      </c>
      <c r="H967">
        <v>152481.74</v>
      </c>
      <c r="I967" t="str">
        <f>"North Halifax Partnership Ltd"</f>
        <v>North Halifax Partnership Ltd</v>
      </c>
      <c r="J967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968" spans="1:10" x14ac:dyDescent="0.35">
      <c r="A968" t="str">
        <f t="shared" si="158"/>
        <v>SEP</v>
      </c>
      <c r="B968" t="str">
        <f t="shared" si="159"/>
        <v>20</v>
      </c>
      <c r="C968" t="str">
        <f t="shared" si="160"/>
        <v>2020/21</v>
      </c>
      <c r="D968" t="str">
        <f>"SC CK 215400"</f>
        <v>SC CK 215400</v>
      </c>
      <c r="E968" t="str">
        <f t="shared" si="161"/>
        <v>SC</v>
      </c>
      <c r="F968" t="s">
        <v>21</v>
      </c>
      <c r="G968" t="s">
        <v>22</v>
      </c>
      <c r="H968">
        <v>152481.74</v>
      </c>
      <c r="I968" t="str">
        <f>"North Halifax Partnership Ltd"</f>
        <v>North Halifax Partnership Ltd</v>
      </c>
      <c r="J968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969" spans="1:10" x14ac:dyDescent="0.35">
      <c r="A969" t="str">
        <f t="shared" si="158"/>
        <v>SEP</v>
      </c>
      <c r="B969" t="str">
        <f t="shared" si="159"/>
        <v>20</v>
      </c>
      <c r="C969" t="str">
        <f t="shared" si="160"/>
        <v>2020/21</v>
      </c>
      <c r="D969" t="str">
        <f>"SC CK 215517"</f>
        <v>SC CK 215517</v>
      </c>
      <c r="E969" t="str">
        <f t="shared" si="161"/>
        <v>SC</v>
      </c>
      <c r="F969" t="s">
        <v>21</v>
      </c>
      <c r="G969" t="s">
        <v>22</v>
      </c>
      <c r="H969">
        <v>184620.84</v>
      </c>
      <c r="I969" t="str">
        <f>"Halifax Opportunities Trust"</f>
        <v>Halifax Opportunities Trust</v>
      </c>
      <c r="J969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970" spans="1:10" x14ac:dyDescent="0.35">
      <c r="A970" t="str">
        <f t="shared" si="158"/>
        <v>SEP</v>
      </c>
      <c r="B970" t="str">
        <f t="shared" si="159"/>
        <v>20</v>
      </c>
      <c r="C970" t="str">
        <f t="shared" si="160"/>
        <v>2020/21</v>
      </c>
      <c r="D970" t="str">
        <f>"SC CK 216312"</f>
        <v>SC CK 216312</v>
      </c>
      <c r="E970" t="str">
        <f t="shared" si="161"/>
        <v>SC</v>
      </c>
      <c r="F970" t="s">
        <v>21</v>
      </c>
      <c r="G970" t="s">
        <v>22</v>
      </c>
      <c r="H970">
        <v>12000</v>
      </c>
      <c r="I970" t="str">
        <f>"Parents Against Child Exploitation(PACE)"</f>
        <v>Parents Against Child Exploitation(PACE)</v>
      </c>
      <c r="J970" t="str">
        <f>"C &amp; P contracts - Child sex exploitation Expenses Supplies And Services CYP Commissioned Services Integrated commissioning - children's"</f>
        <v>C &amp; P contracts - Child sex exploitation Expenses Supplies And Services CYP Commissioned Services Integrated commissioning - children's</v>
      </c>
    </row>
    <row r="971" spans="1:10" x14ac:dyDescent="0.35">
      <c r="A971" t="str">
        <f t="shared" si="158"/>
        <v>SEP</v>
      </c>
      <c r="B971" t="str">
        <f t="shared" si="159"/>
        <v>20</v>
      </c>
      <c r="C971" t="str">
        <f t="shared" si="160"/>
        <v>2020/21</v>
      </c>
      <c r="D971" t="str">
        <f>"SC DC 216886"</f>
        <v>SC DC 216886</v>
      </c>
      <c r="E971" t="str">
        <f t="shared" si="161"/>
        <v>SC</v>
      </c>
      <c r="F971" t="s">
        <v>21</v>
      </c>
      <c r="G971" t="s">
        <v>22</v>
      </c>
      <c r="H971">
        <v>197.76</v>
      </c>
      <c r="I971" t="str">
        <f>"Carers Trust Mid Yorkshire"</f>
        <v>Carers Trust Mid Yorkshire</v>
      </c>
      <c r="J971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972" spans="1:10" x14ac:dyDescent="0.35">
      <c r="A972" t="str">
        <f t="shared" si="158"/>
        <v>SEP</v>
      </c>
      <c r="B972" t="str">
        <f t="shared" si="159"/>
        <v>20</v>
      </c>
      <c r="C972" t="str">
        <f t="shared" si="160"/>
        <v>2020/21</v>
      </c>
      <c r="D972" t="str">
        <f>"SC DC 216906"</f>
        <v>SC DC 216906</v>
      </c>
      <c r="E972" t="str">
        <f t="shared" si="161"/>
        <v>SC</v>
      </c>
      <c r="F972" t="s">
        <v>21</v>
      </c>
      <c r="G972" t="s">
        <v>22</v>
      </c>
      <c r="H972">
        <v>197.76</v>
      </c>
      <c r="I972" t="str">
        <f>"Carers Trust Mid Yorkshire"</f>
        <v>Carers Trust Mid Yorkshire</v>
      </c>
      <c r="J972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973" spans="1:10" x14ac:dyDescent="0.35">
      <c r="A973" t="str">
        <f t="shared" si="158"/>
        <v>SEP</v>
      </c>
      <c r="B973" t="str">
        <f t="shared" si="159"/>
        <v>20</v>
      </c>
      <c r="C973" t="str">
        <f t="shared" si="160"/>
        <v>2020/21</v>
      </c>
      <c r="D973" t="str">
        <f>"CE PH 014219"</f>
        <v>CE PH 014219</v>
      </c>
      <c r="E973" t="str">
        <f t="shared" si="161"/>
        <v>CE</v>
      </c>
      <c r="F973" t="s">
        <v>23</v>
      </c>
      <c r="G973" t="s">
        <v>24</v>
      </c>
      <c r="H973">
        <v>192.5</v>
      </c>
      <c r="I973" t="str">
        <f>"The Basement Recovery Project"</f>
        <v>The Basement Recovery Project</v>
      </c>
      <c r="J973" t="str">
        <f>"Rehab Private Contractors Agency And Contracted Services Substance Misuse Public Health"</f>
        <v>Rehab Private Contractors Agency And Contracted Services Substance Misuse Public Health</v>
      </c>
    </row>
    <row r="974" spans="1:10" x14ac:dyDescent="0.35">
      <c r="A974" t="str">
        <f t="shared" si="158"/>
        <v>SEP</v>
      </c>
      <c r="B974" t="str">
        <f t="shared" si="159"/>
        <v>20</v>
      </c>
      <c r="C974" t="str">
        <f t="shared" si="160"/>
        <v>2020/21</v>
      </c>
      <c r="D974" t="str">
        <f>"CE PH 014103"</f>
        <v>CE PH 014103</v>
      </c>
      <c r="E974" t="str">
        <f t="shared" si="161"/>
        <v>CE</v>
      </c>
      <c r="F974" t="s">
        <v>23</v>
      </c>
      <c r="G974" t="s">
        <v>24</v>
      </c>
      <c r="H974">
        <v>249204.83</v>
      </c>
      <c r="I974" t="str">
        <f>"Humankind"</f>
        <v>Humankind</v>
      </c>
      <c r="J974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975" spans="1:10" x14ac:dyDescent="0.35">
      <c r="A975" t="str">
        <f t="shared" si="158"/>
        <v>SEP</v>
      </c>
      <c r="B975" t="str">
        <f t="shared" si="159"/>
        <v>20</v>
      </c>
      <c r="C975" t="str">
        <f t="shared" si="160"/>
        <v>2020/21</v>
      </c>
      <c r="D975" t="str">
        <f>"CE PH 014114"</f>
        <v>CE PH 014114</v>
      </c>
      <c r="E975" t="str">
        <f t="shared" si="161"/>
        <v>CE</v>
      </c>
      <c r="F975" t="s">
        <v>23</v>
      </c>
      <c r="G975" t="s">
        <v>24</v>
      </c>
      <c r="H975">
        <v>292505.59000000003</v>
      </c>
      <c r="I975" t="str">
        <f>"Locala Community Partnerships CIC"</f>
        <v>Locala Community Partnerships CIC</v>
      </c>
      <c r="J975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976" spans="1:10" x14ac:dyDescent="0.35">
      <c r="A976" t="str">
        <f t="shared" si="158"/>
        <v>SEP</v>
      </c>
      <c r="B976" t="str">
        <f t="shared" si="159"/>
        <v>20</v>
      </c>
      <c r="C976" t="str">
        <f t="shared" si="160"/>
        <v>2020/21</v>
      </c>
      <c r="D976" t="str">
        <f>"CE PH 014114"</f>
        <v>CE PH 014114</v>
      </c>
      <c r="E976" t="str">
        <f t="shared" si="161"/>
        <v>CE</v>
      </c>
      <c r="F976" t="s">
        <v>23</v>
      </c>
      <c r="G976" t="s">
        <v>24</v>
      </c>
      <c r="H976">
        <v>292505.59000000003</v>
      </c>
      <c r="I976" t="str">
        <f>"Locala Community Partnerships CIC"</f>
        <v>Locala Community Partnerships CIC</v>
      </c>
      <c r="J976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977" spans="1:10" x14ac:dyDescent="0.35">
      <c r="A977" t="str">
        <f t="shared" si="158"/>
        <v>SEP</v>
      </c>
      <c r="B977" t="str">
        <f t="shared" si="159"/>
        <v>20</v>
      </c>
      <c r="C977" t="str">
        <f t="shared" si="160"/>
        <v>2020/21</v>
      </c>
      <c r="D977" t="str">
        <f>"CE PH 014112"</f>
        <v>CE PH 014112</v>
      </c>
      <c r="E977" t="str">
        <f t="shared" si="161"/>
        <v>CE</v>
      </c>
      <c r="F977" t="s">
        <v>23</v>
      </c>
      <c r="G977" t="s">
        <v>24</v>
      </c>
      <c r="H977">
        <v>163520.75</v>
      </c>
      <c r="I977" t="str">
        <f>"Locala Community Partnerships CIC"</f>
        <v>Locala Community Partnerships CIC</v>
      </c>
      <c r="J977" t="str">
        <f>"School nursing Private Contractors Agency And Contracted Services Children / Young People's Public Health (incl 0-5) Public Health"</f>
        <v>School nursing Private Contractors Agency And Contracted Services Children / Young People's Public Health (incl 0-5) Public Health</v>
      </c>
    </row>
    <row r="978" spans="1:10" x14ac:dyDescent="0.35">
      <c r="A978" t="str">
        <f t="shared" si="158"/>
        <v>SEP</v>
      </c>
      <c r="B978" t="str">
        <f t="shared" si="159"/>
        <v>20</v>
      </c>
      <c r="C978" t="str">
        <f t="shared" si="160"/>
        <v>2020/21</v>
      </c>
      <c r="D978" t="str">
        <f>"CE PH 014096"</f>
        <v>CE PH 014096</v>
      </c>
      <c r="E978" t="str">
        <f t="shared" si="161"/>
        <v>CE</v>
      </c>
      <c r="F978" t="s">
        <v>23</v>
      </c>
      <c r="G978" t="s">
        <v>24</v>
      </c>
      <c r="H978">
        <v>22682</v>
      </c>
      <c r="I978" t="str">
        <f>"Humankind"</f>
        <v>Humankind</v>
      </c>
      <c r="J978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979" spans="1:10" x14ac:dyDescent="0.35">
      <c r="A979" t="str">
        <f t="shared" si="158"/>
        <v>SEP</v>
      </c>
      <c r="B979" t="str">
        <f t="shared" si="159"/>
        <v>20</v>
      </c>
      <c r="C979" t="str">
        <f t="shared" si="160"/>
        <v>2020/21</v>
      </c>
      <c r="D979" t="str">
        <f>"CE PH 014212"</f>
        <v>CE PH 014212</v>
      </c>
      <c r="E979" t="str">
        <f t="shared" si="161"/>
        <v>CE</v>
      </c>
      <c r="F979" t="s">
        <v>23</v>
      </c>
      <c r="G979" t="s">
        <v>24</v>
      </c>
      <c r="H979">
        <v>12346</v>
      </c>
      <c r="I979" t="str">
        <f>"Voluntary Action Calderdale"</f>
        <v>Voluntary Action Calderdale</v>
      </c>
      <c r="J979" t="str">
        <f>"VAC Miscellaneous Expenses Supplies And Services Active Staff (Sport England funded) Public Health"</f>
        <v>VAC Miscellaneous Expenses Supplies And Services Active Staff (Sport England funded) Public Health</v>
      </c>
    </row>
    <row r="980" spans="1:10" x14ac:dyDescent="0.35">
      <c r="A980" t="str">
        <f t="shared" si="158"/>
        <v>SEP</v>
      </c>
      <c r="B980" t="str">
        <f t="shared" si="159"/>
        <v>20</v>
      </c>
      <c r="C980" t="str">
        <f t="shared" si="160"/>
        <v>2020/21</v>
      </c>
      <c r="D980" t="str">
        <f>"CE PH 014213"</f>
        <v>CE PH 014213</v>
      </c>
      <c r="E980" t="str">
        <f t="shared" si="161"/>
        <v>CE</v>
      </c>
      <c r="F980" t="s">
        <v>23</v>
      </c>
      <c r="G980" t="s">
        <v>24</v>
      </c>
      <c r="H980">
        <v>12346</v>
      </c>
      <c r="I980" t="str">
        <f>"Voluntary Action Calderdale"</f>
        <v>Voluntary Action Calderdale</v>
      </c>
      <c r="J980" t="str">
        <f>"VAC Miscellaneous Expenses Supplies And Services Active Staff (Sport England funded) Public Health"</f>
        <v>VAC Miscellaneous Expenses Supplies And Services Active Staff (Sport England funded) Public Health</v>
      </c>
    </row>
    <row r="981" spans="1:10" x14ac:dyDescent="0.35">
      <c r="A981" t="str">
        <f t="shared" si="158"/>
        <v>SEP</v>
      </c>
      <c r="B981" t="str">
        <f t="shared" si="159"/>
        <v>20</v>
      </c>
      <c r="C981" t="str">
        <f t="shared" si="160"/>
        <v>2020/21</v>
      </c>
      <c r="D981" t="str">
        <f>"SS FD 113782"</f>
        <v>SS FD 113782</v>
      </c>
      <c r="E981" t="str">
        <f t="shared" si="161"/>
        <v>SS</v>
      </c>
      <c r="F981" t="s">
        <v>25</v>
      </c>
      <c r="G981" t="s">
        <v>22</v>
      </c>
      <c r="H981">
        <v>148.32</v>
      </c>
      <c r="I981" t="str">
        <f>"Carers Trust Mid Yorkshire"</f>
        <v>Carers Trust Mid Yorkshire</v>
      </c>
      <c r="J981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982" spans="1:10" x14ac:dyDescent="0.35">
      <c r="A982" t="str">
        <f t="shared" si="158"/>
        <v>SEP</v>
      </c>
      <c r="B982" t="str">
        <f t="shared" si="159"/>
        <v>20</v>
      </c>
      <c r="C982" t="str">
        <f t="shared" si="160"/>
        <v>2020/21</v>
      </c>
      <c r="D982" t="str">
        <f>"SS FD 113786"</f>
        <v>SS FD 113786</v>
      </c>
      <c r="E982" t="str">
        <f t="shared" si="161"/>
        <v>SS</v>
      </c>
      <c r="F982" t="s">
        <v>25</v>
      </c>
      <c r="G982" t="s">
        <v>22</v>
      </c>
      <c r="H982">
        <v>2300.1999999999998</v>
      </c>
      <c r="I982" t="str">
        <f>"Helping Hands (HX)"</f>
        <v>Helping Hands (HX)</v>
      </c>
      <c r="J982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983" spans="1:10" x14ac:dyDescent="0.35">
      <c r="A983" t="str">
        <f t="shared" si="158"/>
        <v>SEP</v>
      </c>
      <c r="B983" t="str">
        <f t="shared" si="159"/>
        <v>20</v>
      </c>
      <c r="C983" t="str">
        <f t="shared" si="160"/>
        <v>2020/21</v>
      </c>
      <c r="D983" t="str">
        <f>"SS FD 113790"</f>
        <v>SS FD 113790</v>
      </c>
      <c r="E983" t="str">
        <f t="shared" si="161"/>
        <v>SS</v>
      </c>
      <c r="F983" t="s">
        <v>25</v>
      </c>
      <c r="G983" t="s">
        <v>22</v>
      </c>
      <c r="H983">
        <v>3596.04</v>
      </c>
      <c r="I983" t="str">
        <f>"The Hive (Halifax) Ltd"</f>
        <v>The Hive (Halifax) Ltd</v>
      </c>
      <c r="J983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984" spans="1:10" x14ac:dyDescent="0.35">
      <c r="A984" t="str">
        <f t="shared" si="158"/>
        <v>SEP</v>
      </c>
      <c r="B984" t="str">
        <f t="shared" si="159"/>
        <v>20</v>
      </c>
      <c r="C984" t="str">
        <f t="shared" si="160"/>
        <v>2020/21</v>
      </c>
      <c r="D984" t="str">
        <f>"SS FD 113780"</f>
        <v>SS FD 113780</v>
      </c>
      <c r="E984" t="str">
        <f t="shared" si="161"/>
        <v>SS</v>
      </c>
      <c r="F984" t="s">
        <v>25</v>
      </c>
      <c r="G984" t="s">
        <v>22</v>
      </c>
      <c r="H984">
        <v>100105.76</v>
      </c>
      <c r="I984" t="str">
        <f>"The Next Step Trust"</f>
        <v>The Next Step Trust</v>
      </c>
      <c r="J984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985" spans="1:10" x14ac:dyDescent="0.35">
      <c r="A985" t="str">
        <f t="shared" si="158"/>
        <v>SEP</v>
      </c>
      <c r="B985" t="str">
        <f t="shared" si="159"/>
        <v>20</v>
      </c>
      <c r="C985" t="str">
        <f t="shared" si="160"/>
        <v>2020/21</v>
      </c>
      <c r="D985" t="str">
        <f>"SS FD 113789"</f>
        <v>SS FD 113789</v>
      </c>
      <c r="E985" t="str">
        <f t="shared" si="161"/>
        <v>SS</v>
      </c>
      <c r="F985" t="s">
        <v>25</v>
      </c>
      <c r="G985" t="s">
        <v>22</v>
      </c>
      <c r="H985">
        <v>33865.64</v>
      </c>
      <c r="I985" t="str">
        <f>"Pennine Magpie"</f>
        <v>Pennine Magpie</v>
      </c>
      <c r="J985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986" spans="1:10" x14ac:dyDescent="0.35">
      <c r="A986" t="str">
        <f t="shared" si="158"/>
        <v>SEP</v>
      </c>
      <c r="B986" t="str">
        <f t="shared" si="159"/>
        <v>20</v>
      </c>
      <c r="C986" t="str">
        <f t="shared" si="160"/>
        <v>2020/21</v>
      </c>
      <c r="D986" t="str">
        <f>"HS EM 016859"</f>
        <v>HS EM 016859</v>
      </c>
      <c r="E986" t="str">
        <f t="shared" si="161"/>
        <v>HS</v>
      </c>
      <c r="F986" t="s">
        <v>26</v>
      </c>
      <c r="G986" t="s">
        <v>18</v>
      </c>
      <c r="H986">
        <v>249</v>
      </c>
      <c r="I986" t="str">
        <f>"APSE"</f>
        <v>APSE</v>
      </c>
      <c r="J986" t="str">
        <f>"Calder Future - Transfer of Income Rec'd Miscellaneous Expenses Supplies And Services Environmental Management Team Housing Services"</f>
        <v>Calder Future - Transfer of Income Rec'd Miscellaneous Expenses Supplies And Services Environmental Management Team Housing Services</v>
      </c>
    </row>
    <row r="987" spans="1:10" x14ac:dyDescent="0.35">
      <c r="A987" t="str">
        <f t="shared" si="158"/>
        <v>SEP</v>
      </c>
      <c r="B987" t="str">
        <f t="shared" si="159"/>
        <v>20</v>
      </c>
      <c r="C987" t="str">
        <f t="shared" si="160"/>
        <v>2020/21</v>
      </c>
      <c r="D987" t="str">
        <f>"HS TA 016872"</f>
        <v>HS TA 016872</v>
      </c>
      <c r="E987" t="str">
        <f t="shared" si="161"/>
        <v>HS</v>
      </c>
      <c r="F987" t="s">
        <v>26</v>
      </c>
      <c r="G987" t="s">
        <v>18</v>
      </c>
      <c r="H987">
        <v>192.5</v>
      </c>
      <c r="I987" t="str">
        <f t="shared" ref="I987:I995" si="162">"Sure Start North Halifax"</f>
        <v>Sure Start North Halifax</v>
      </c>
      <c r="J987" t="str">
        <f t="shared" ref="J987:J995" si="163"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988" spans="1:10" x14ac:dyDescent="0.35">
      <c r="A988" t="str">
        <f t="shared" si="158"/>
        <v>SEP</v>
      </c>
      <c r="B988" t="str">
        <f t="shared" si="159"/>
        <v>20</v>
      </c>
      <c r="C988" t="str">
        <f t="shared" si="160"/>
        <v>2020/21</v>
      </c>
      <c r="D988" t="str">
        <f>"HS TA 016869"</f>
        <v>HS TA 016869</v>
      </c>
      <c r="E988" t="str">
        <f t="shared" si="161"/>
        <v>HS</v>
      </c>
      <c r="F988" t="s">
        <v>26</v>
      </c>
      <c r="G988" t="s">
        <v>18</v>
      </c>
      <c r="H988">
        <v>55</v>
      </c>
      <c r="I988" t="str">
        <f t="shared" si="162"/>
        <v>Sure Start North Halifax</v>
      </c>
      <c r="J988" t="str">
        <f t="shared" si="163"/>
        <v>Childcare expenses Equipment Furniture And Materials Supplies And Services Syrian settlement account Housing Services</v>
      </c>
    </row>
    <row r="989" spans="1:10" x14ac:dyDescent="0.35">
      <c r="A989" t="str">
        <f t="shared" si="158"/>
        <v>SEP</v>
      </c>
      <c r="B989" t="str">
        <f t="shared" si="159"/>
        <v>20</v>
      </c>
      <c r="C989" t="str">
        <f t="shared" si="160"/>
        <v>2020/21</v>
      </c>
      <c r="D989" t="str">
        <f>"HS TA 016869"</f>
        <v>HS TA 016869</v>
      </c>
      <c r="E989" t="str">
        <f t="shared" si="161"/>
        <v>HS</v>
      </c>
      <c r="F989" t="s">
        <v>26</v>
      </c>
      <c r="G989" t="s">
        <v>18</v>
      </c>
      <c r="H989">
        <v>82.5</v>
      </c>
      <c r="I989" t="str">
        <f t="shared" si="162"/>
        <v>Sure Start North Halifax</v>
      </c>
      <c r="J989" t="str">
        <f t="shared" si="163"/>
        <v>Childcare expenses Equipment Furniture And Materials Supplies And Services Syrian settlement account Housing Services</v>
      </c>
    </row>
    <row r="990" spans="1:10" x14ac:dyDescent="0.35">
      <c r="A990" t="str">
        <f t="shared" si="158"/>
        <v>SEP</v>
      </c>
      <c r="B990" t="str">
        <f t="shared" si="159"/>
        <v>20</v>
      </c>
      <c r="C990" t="str">
        <f t="shared" si="160"/>
        <v>2020/21</v>
      </c>
      <c r="D990" t="str">
        <f>"HS TA 016868"</f>
        <v>HS TA 016868</v>
      </c>
      <c r="E990" t="str">
        <f t="shared" si="161"/>
        <v>HS</v>
      </c>
      <c r="F990" t="s">
        <v>26</v>
      </c>
      <c r="G990" t="s">
        <v>18</v>
      </c>
      <c r="H990">
        <v>357.5</v>
      </c>
      <c r="I990" t="str">
        <f t="shared" si="162"/>
        <v>Sure Start North Halifax</v>
      </c>
      <c r="J990" t="str">
        <f t="shared" si="163"/>
        <v>Childcare expenses Equipment Furniture And Materials Supplies And Services Syrian settlement account Housing Services</v>
      </c>
    </row>
    <row r="991" spans="1:10" x14ac:dyDescent="0.35">
      <c r="A991" t="str">
        <f t="shared" si="158"/>
        <v>SEP</v>
      </c>
      <c r="B991" t="str">
        <f t="shared" si="159"/>
        <v>20</v>
      </c>
      <c r="C991" t="str">
        <f t="shared" si="160"/>
        <v>2020/21</v>
      </c>
      <c r="D991" t="str">
        <f>"HS TA 016870"</f>
        <v>HS TA 016870</v>
      </c>
      <c r="E991" t="str">
        <f t="shared" si="161"/>
        <v>HS</v>
      </c>
      <c r="F991" t="s">
        <v>26</v>
      </c>
      <c r="G991" t="s">
        <v>18</v>
      </c>
      <c r="H991">
        <v>57</v>
      </c>
      <c r="I991" t="str">
        <f t="shared" si="162"/>
        <v>Sure Start North Halifax</v>
      </c>
      <c r="J991" t="str">
        <f t="shared" si="163"/>
        <v>Childcare expenses Equipment Furniture And Materials Supplies And Services Syrian settlement account Housing Services</v>
      </c>
    </row>
    <row r="992" spans="1:10" x14ac:dyDescent="0.35">
      <c r="A992" t="str">
        <f t="shared" si="158"/>
        <v>SEP</v>
      </c>
      <c r="B992" t="str">
        <f t="shared" si="159"/>
        <v>20</v>
      </c>
      <c r="C992" t="str">
        <f t="shared" si="160"/>
        <v>2020/21</v>
      </c>
      <c r="D992" t="str">
        <f>"HS TA 016871"</f>
        <v>HS TA 016871</v>
      </c>
      <c r="E992" t="str">
        <f t="shared" si="161"/>
        <v>HS</v>
      </c>
      <c r="F992" t="s">
        <v>26</v>
      </c>
      <c r="G992" t="s">
        <v>18</v>
      </c>
      <c r="H992">
        <v>357.5</v>
      </c>
      <c r="I992" t="str">
        <f t="shared" si="162"/>
        <v>Sure Start North Halifax</v>
      </c>
      <c r="J992" t="str">
        <f t="shared" si="163"/>
        <v>Childcare expenses Equipment Furniture And Materials Supplies And Services Syrian settlement account Housing Services</v>
      </c>
    </row>
    <row r="993" spans="1:10" x14ac:dyDescent="0.35">
      <c r="A993" t="str">
        <f t="shared" si="158"/>
        <v>SEP</v>
      </c>
      <c r="B993" t="str">
        <f t="shared" si="159"/>
        <v>20</v>
      </c>
      <c r="C993" t="str">
        <f t="shared" si="160"/>
        <v>2020/21</v>
      </c>
      <c r="D993" t="str">
        <f>"HS TA 016871"</f>
        <v>HS TA 016871</v>
      </c>
      <c r="E993" t="str">
        <f t="shared" si="161"/>
        <v>HS</v>
      </c>
      <c r="F993" t="s">
        <v>26</v>
      </c>
      <c r="G993" t="s">
        <v>18</v>
      </c>
      <c r="H993">
        <v>192.5</v>
      </c>
      <c r="I993" t="str">
        <f t="shared" si="162"/>
        <v>Sure Start North Halifax</v>
      </c>
      <c r="J993" t="str">
        <f t="shared" si="163"/>
        <v>Childcare expenses Equipment Furniture And Materials Supplies And Services Syrian settlement account Housing Services</v>
      </c>
    </row>
    <row r="994" spans="1:10" x14ac:dyDescent="0.35">
      <c r="A994" t="str">
        <f t="shared" si="158"/>
        <v>SEP</v>
      </c>
      <c r="B994" t="str">
        <f t="shared" si="159"/>
        <v>20</v>
      </c>
      <c r="C994" t="str">
        <f t="shared" si="160"/>
        <v>2020/21</v>
      </c>
      <c r="D994" t="str">
        <f>"HS TA 016868"</f>
        <v>HS TA 016868</v>
      </c>
      <c r="E994" t="str">
        <f t="shared" si="161"/>
        <v>HS</v>
      </c>
      <c r="F994" t="s">
        <v>26</v>
      </c>
      <c r="G994" t="s">
        <v>18</v>
      </c>
      <c r="H994">
        <v>192.5</v>
      </c>
      <c r="I994" t="str">
        <f t="shared" si="162"/>
        <v>Sure Start North Halifax</v>
      </c>
      <c r="J994" t="str">
        <f t="shared" si="163"/>
        <v>Childcare expenses Equipment Furniture And Materials Supplies And Services Syrian settlement account Housing Services</v>
      </c>
    </row>
    <row r="995" spans="1:10" x14ac:dyDescent="0.35">
      <c r="A995" t="str">
        <f t="shared" si="158"/>
        <v>SEP</v>
      </c>
      <c r="B995" t="str">
        <f t="shared" si="159"/>
        <v>20</v>
      </c>
      <c r="C995" t="str">
        <f t="shared" si="160"/>
        <v>2020/21</v>
      </c>
      <c r="D995" t="str">
        <f>"HS TA 016872"</f>
        <v>HS TA 016872</v>
      </c>
      <c r="E995" t="str">
        <f t="shared" si="161"/>
        <v>HS</v>
      </c>
      <c r="F995" t="s">
        <v>26</v>
      </c>
      <c r="G995" t="s">
        <v>18</v>
      </c>
      <c r="H995">
        <v>357.5</v>
      </c>
      <c r="I995" t="str">
        <f t="shared" si="162"/>
        <v>Sure Start North Halifax</v>
      </c>
      <c r="J995" t="str">
        <f t="shared" si="163"/>
        <v>Childcare expenses Equipment Furniture And Materials Supplies And Services Syrian settlement account Housing Services</v>
      </c>
    </row>
    <row r="996" spans="1:10" x14ac:dyDescent="0.35">
      <c r="A996" t="str">
        <f t="shared" si="158"/>
        <v>SEP</v>
      </c>
      <c r="B996" t="str">
        <f t="shared" si="159"/>
        <v>20</v>
      </c>
      <c r="C996" t="str">
        <f t="shared" si="160"/>
        <v>2020/21</v>
      </c>
      <c r="D996" t="str">
        <f>"TF CI 000683"</f>
        <v>TF CI 000683</v>
      </c>
      <c r="E996" t="str">
        <f t="shared" si="161"/>
        <v>TF</v>
      </c>
      <c r="F996" t="s">
        <v>27</v>
      </c>
      <c r="G996" t="s">
        <v>18</v>
      </c>
      <c r="H996">
        <v>22500</v>
      </c>
      <c r="I996" t="str">
        <f>"Community Foundation for Calderdale"</f>
        <v>Community Foundation for Calderdale</v>
      </c>
      <c r="J996" t="str">
        <f>"Rent Rent And Rates Premises And Related Expenses Halifax Customer First - 19 Horton Street Corporate Asset and Facilities Management"</f>
        <v>Rent Rent And Rates Premises And Related Expenses Halifax Customer First - 19 Horton Street Corporate Asset and Facilities Management</v>
      </c>
    </row>
    <row r="997" spans="1:10" x14ac:dyDescent="0.35">
      <c r="A997" t="str">
        <f t="shared" si="158"/>
        <v>SEP</v>
      </c>
      <c r="B997" t="str">
        <f t="shared" si="159"/>
        <v>20</v>
      </c>
      <c r="C997" t="str">
        <f t="shared" si="160"/>
        <v>2020/21</v>
      </c>
      <c r="D997" t="str">
        <f>"TF CI 000684"</f>
        <v>TF CI 000684</v>
      </c>
      <c r="E997" t="str">
        <f t="shared" si="161"/>
        <v>TF</v>
      </c>
      <c r="F997" t="s">
        <v>27</v>
      </c>
      <c r="G997" t="s">
        <v>18</v>
      </c>
      <c r="H997">
        <v>22500</v>
      </c>
      <c r="I997" t="str">
        <f>"Community Foundation for Calderdale"</f>
        <v>Community Foundation for Calderdale</v>
      </c>
      <c r="J997" t="str">
        <f>"Rent Rent And Rates Premises And Related Expenses Halifax Customer First - 19 Horton Street Corporate Asset and Facilities Management"</f>
        <v>Rent Rent And Rates Premises And Related Expenses Halifax Customer First - 19 Horton Street Corporate Asset and Facilities Management</v>
      </c>
    </row>
    <row r="998" spans="1:10" x14ac:dyDescent="0.35">
      <c r="A998" t="str">
        <f t="shared" si="158"/>
        <v>SEP</v>
      </c>
      <c r="B998" t="str">
        <f t="shared" si="159"/>
        <v>20</v>
      </c>
      <c r="C998" t="str">
        <f t="shared" si="160"/>
        <v>2020/21</v>
      </c>
      <c r="D998" t="str">
        <f>"SC SS 216955"</f>
        <v>SC SS 216955</v>
      </c>
      <c r="E998" t="str">
        <f t="shared" si="161"/>
        <v>SC</v>
      </c>
      <c r="F998" t="s">
        <v>29</v>
      </c>
      <c r="G998" t="s">
        <v>30</v>
      </c>
      <c r="H998">
        <v>7090</v>
      </c>
      <c r="I998" t="str">
        <f>"The Artworks CIC"</f>
        <v>The Artworks CIC</v>
      </c>
      <c r="J998" t="str">
        <f>"EOTAS &amp; Other Provision Other Committees Of The Council Agency And Contracted Services EHC Support Children and Young People's Serv - Central De"</f>
        <v>EOTAS &amp; Other Provision Other Committees Of The Council Agency And Contracted Services EHC Support Children and Young People's Serv - Central De</v>
      </c>
    </row>
    <row r="999" spans="1:10" x14ac:dyDescent="0.35">
      <c r="A999" t="str">
        <f t="shared" si="158"/>
        <v>SEP</v>
      </c>
      <c r="B999" t="str">
        <f t="shared" si="159"/>
        <v>20</v>
      </c>
      <c r="C999" t="str">
        <f t="shared" si="160"/>
        <v>2020/21</v>
      </c>
      <c r="D999" t="str">
        <f>"SC EY 217040"</f>
        <v>SC EY 217040</v>
      </c>
      <c r="E999" t="str">
        <f t="shared" si="161"/>
        <v>SC</v>
      </c>
      <c r="F999" t="s">
        <v>32</v>
      </c>
      <c r="G999" t="s">
        <v>30</v>
      </c>
      <c r="H999">
        <v>535.5</v>
      </c>
      <c r="I999" t="str">
        <f>"Creations Community Childrens Centre"</f>
        <v>Creations Community Childrens Centre</v>
      </c>
      <c r="J999" t="str">
        <f t="shared" ref="J999:J1006" si="164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1000" spans="1:10" x14ac:dyDescent="0.35">
      <c r="A1000" t="str">
        <f t="shared" si="158"/>
        <v>SEP</v>
      </c>
      <c r="B1000" t="str">
        <f t="shared" si="159"/>
        <v>20</v>
      </c>
      <c r="C1000" t="str">
        <f t="shared" si="160"/>
        <v>2020/21</v>
      </c>
      <c r="D1000" t="str">
        <f>"SC EY 217047"</f>
        <v>SC EY 217047</v>
      </c>
      <c r="E1000" t="str">
        <f t="shared" si="161"/>
        <v>SC</v>
      </c>
      <c r="F1000" t="s">
        <v>32</v>
      </c>
      <c r="G1000" t="s">
        <v>30</v>
      </c>
      <c r="H1000">
        <v>378</v>
      </c>
      <c r="I1000" t="str">
        <f>"Halifax Opportunities Trust"</f>
        <v>Halifax Opportunities Trust</v>
      </c>
      <c r="J1000" t="str">
        <f t="shared" si="164"/>
        <v>Access to Support provision Other Agency And Contracted Services Agency And Contracted Services Early Intervention Childcare Funding Childrens S</v>
      </c>
    </row>
    <row r="1001" spans="1:10" x14ac:dyDescent="0.35">
      <c r="A1001" t="str">
        <f t="shared" si="158"/>
        <v>SEP</v>
      </c>
      <c r="B1001" t="str">
        <f t="shared" si="159"/>
        <v>20</v>
      </c>
      <c r="C1001" t="str">
        <f t="shared" si="160"/>
        <v>2020/21</v>
      </c>
      <c r="D1001" t="str">
        <f>"SC EY 217174"</f>
        <v>SC EY 217174</v>
      </c>
      <c r="E1001" t="str">
        <f t="shared" si="161"/>
        <v>SC</v>
      </c>
      <c r="F1001" t="s">
        <v>32</v>
      </c>
      <c r="G1001" t="s">
        <v>30</v>
      </c>
      <c r="H1001">
        <v>2262</v>
      </c>
      <c r="I1001" t="str">
        <f>"Innovations Children's Centre"</f>
        <v>Innovations Children's Centre</v>
      </c>
      <c r="J1001" t="str">
        <f t="shared" si="164"/>
        <v>Access to Support provision Other Agency And Contracted Services Agency And Contracted Services Early Intervention Childcare Funding Childrens S</v>
      </c>
    </row>
    <row r="1002" spans="1:10" x14ac:dyDescent="0.35">
      <c r="A1002" t="str">
        <f t="shared" si="158"/>
        <v>SEP</v>
      </c>
      <c r="B1002" t="str">
        <f t="shared" si="159"/>
        <v>20</v>
      </c>
      <c r="C1002" t="str">
        <f t="shared" si="160"/>
        <v>2020/21</v>
      </c>
      <c r="D1002" t="str">
        <f>"SC EY 217175"</f>
        <v>SC EY 217175</v>
      </c>
      <c r="E1002" t="str">
        <f t="shared" si="161"/>
        <v>SC</v>
      </c>
      <c r="F1002" t="s">
        <v>32</v>
      </c>
      <c r="G1002" t="s">
        <v>30</v>
      </c>
      <c r="H1002">
        <v>4190</v>
      </c>
      <c r="I1002" t="str">
        <f>"Jubilee Children's Centre"</f>
        <v>Jubilee Children's Centre</v>
      </c>
      <c r="J1002" t="str">
        <f t="shared" si="164"/>
        <v>Access to Support provision Other Agency And Contracted Services Agency And Contracted Services Early Intervention Childcare Funding Childrens S</v>
      </c>
    </row>
    <row r="1003" spans="1:10" x14ac:dyDescent="0.35">
      <c r="A1003" t="str">
        <f t="shared" si="158"/>
        <v>SEP</v>
      </c>
      <c r="B1003" t="str">
        <f t="shared" si="159"/>
        <v>20</v>
      </c>
      <c r="C1003" t="str">
        <f t="shared" si="160"/>
        <v>2020/21</v>
      </c>
      <c r="D1003" t="str">
        <f>"SC EY 217036"</f>
        <v>SC EY 217036</v>
      </c>
      <c r="E1003" t="str">
        <f t="shared" si="161"/>
        <v>SC</v>
      </c>
      <c r="F1003" t="s">
        <v>32</v>
      </c>
      <c r="G1003" t="s">
        <v>30</v>
      </c>
      <c r="H1003">
        <v>624</v>
      </c>
      <c r="I1003" t="str">
        <f>"Ash Green Childrens Centre"</f>
        <v>Ash Green Childrens Centre</v>
      </c>
      <c r="J1003" t="str">
        <f t="shared" si="164"/>
        <v>Access to Support provision Other Agency And Contracted Services Agency And Contracted Services Early Intervention Childcare Funding Childrens S</v>
      </c>
    </row>
    <row r="1004" spans="1:10" x14ac:dyDescent="0.35">
      <c r="A1004" t="str">
        <f t="shared" si="158"/>
        <v>SEP</v>
      </c>
      <c r="B1004" t="str">
        <f t="shared" si="159"/>
        <v>20</v>
      </c>
      <c r="C1004" t="str">
        <f t="shared" si="160"/>
        <v>2020/21</v>
      </c>
      <c r="D1004" t="str">
        <f>"SC EY 217046"</f>
        <v>SC EY 217046</v>
      </c>
      <c r="E1004" t="str">
        <f t="shared" si="161"/>
        <v>SC</v>
      </c>
      <c r="F1004" t="s">
        <v>32</v>
      </c>
      <c r="G1004" t="s">
        <v>30</v>
      </c>
      <c r="H1004">
        <v>1624</v>
      </c>
      <c r="I1004" t="str">
        <f>"Kevin Pearce Childrens Centre"</f>
        <v>Kevin Pearce Childrens Centre</v>
      </c>
      <c r="J1004" t="str">
        <f t="shared" si="164"/>
        <v>Access to Support provision Other Agency And Contracted Services Agency And Contracted Services Early Intervention Childcare Funding Childrens S</v>
      </c>
    </row>
    <row r="1005" spans="1:10" x14ac:dyDescent="0.35">
      <c r="A1005" t="str">
        <f t="shared" si="158"/>
        <v>SEP</v>
      </c>
      <c r="B1005" t="str">
        <f t="shared" si="159"/>
        <v>20</v>
      </c>
      <c r="C1005" t="str">
        <f t="shared" si="160"/>
        <v>2020/21</v>
      </c>
      <c r="D1005" t="str">
        <f>"SC EY 217176"</f>
        <v>SC EY 217176</v>
      </c>
      <c r="E1005" t="str">
        <f t="shared" si="161"/>
        <v>SC</v>
      </c>
      <c r="F1005" t="s">
        <v>32</v>
      </c>
      <c r="G1005" t="s">
        <v>30</v>
      </c>
      <c r="H1005">
        <v>1326</v>
      </c>
      <c r="I1005" t="str">
        <f>"Siddal Children's Centre"</f>
        <v>Siddal Children's Centre</v>
      </c>
      <c r="J1005" t="str">
        <f t="shared" si="164"/>
        <v>Access to Support provision Other Agency And Contracted Services Agency And Contracted Services Early Intervention Childcare Funding Childrens S</v>
      </c>
    </row>
    <row r="1006" spans="1:10" x14ac:dyDescent="0.35">
      <c r="A1006" t="str">
        <f t="shared" si="158"/>
        <v>SEP</v>
      </c>
      <c r="B1006" t="str">
        <f t="shared" si="159"/>
        <v>20</v>
      </c>
      <c r="C1006" t="str">
        <f t="shared" si="160"/>
        <v>2020/21</v>
      </c>
      <c r="D1006" t="str">
        <f>"SC EY 217055"</f>
        <v>SC EY 217055</v>
      </c>
      <c r="E1006" t="str">
        <f t="shared" si="161"/>
        <v>SC</v>
      </c>
      <c r="F1006" t="s">
        <v>32</v>
      </c>
      <c r="G1006" t="s">
        <v>30</v>
      </c>
      <c r="H1006">
        <v>248</v>
      </c>
      <c r="I1006" t="str">
        <f>"Todmorden Children's Centre"</f>
        <v>Todmorden Children's Centre</v>
      </c>
      <c r="J1006" t="str">
        <f t="shared" si="164"/>
        <v>Access to Support provision Other Agency And Contracted Services Agency And Contracted Services Early Intervention Childcare Funding Childrens S</v>
      </c>
    </row>
    <row r="1007" spans="1:10" x14ac:dyDescent="0.35">
      <c r="A1007" t="str">
        <f t="shared" si="158"/>
        <v>SEP</v>
      </c>
      <c r="B1007" t="str">
        <f t="shared" si="159"/>
        <v>20</v>
      </c>
      <c r="C1007" t="str">
        <f t="shared" si="160"/>
        <v>2020/21</v>
      </c>
      <c r="D1007" t="str">
        <f>"SC EY 217114"</f>
        <v>SC EY 217114</v>
      </c>
      <c r="E1007" t="str">
        <f t="shared" si="161"/>
        <v>SC</v>
      </c>
      <c r="F1007" t="s">
        <v>32</v>
      </c>
      <c r="G1007" t="s">
        <v>30</v>
      </c>
      <c r="H1007">
        <v>882</v>
      </c>
      <c r="I1007" t="str">
        <f>"Children's Corner Pre-School Committee"</f>
        <v>Children's Corner Pre-School Committee</v>
      </c>
      <c r="J1007" t="str">
        <f t="shared" ref="J1007:J1032" si="165"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008" spans="1:10" x14ac:dyDescent="0.35">
      <c r="A1008" t="str">
        <f t="shared" si="158"/>
        <v>SEP</v>
      </c>
      <c r="B1008" t="str">
        <f t="shared" si="159"/>
        <v>20</v>
      </c>
      <c r="C1008" t="str">
        <f t="shared" si="160"/>
        <v>2020/21</v>
      </c>
      <c r="D1008" t="str">
        <f>"SC EY 217120"</f>
        <v>SC EY 217120</v>
      </c>
      <c r="E1008" t="str">
        <f t="shared" si="161"/>
        <v>SC</v>
      </c>
      <c r="F1008" t="s">
        <v>32</v>
      </c>
      <c r="G1008" t="s">
        <v>30</v>
      </c>
      <c r="H1008">
        <v>1449</v>
      </c>
      <c r="I1008" t="str">
        <f>"Creations Community Childrens Centre"</f>
        <v>Creations Community Childrens Centre</v>
      </c>
      <c r="J1008" t="str">
        <f t="shared" si="165"/>
        <v>3/4 year old inclusion support (DSG) Grants And Subscriptions Supplies And Services D C A T C H Childrens Services Unit</v>
      </c>
    </row>
    <row r="1009" spans="1:10" x14ac:dyDescent="0.35">
      <c r="A1009" t="str">
        <f t="shared" si="158"/>
        <v>SEP</v>
      </c>
      <c r="B1009" t="str">
        <f t="shared" si="159"/>
        <v>20</v>
      </c>
      <c r="C1009" t="str">
        <f t="shared" si="160"/>
        <v>2020/21</v>
      </c>
      <c r="D1009" t="str">
        <f>"SC EY 217120"</f>
        <v>SC EY 217120</v>
      </c>
      <c r="E1009" t="str">
        <f t="shared" si="161"/>
        <v>SC</v>
      </c>
      <c r="F1009" t="s">
        <v>32</v>
      </c>
      <c r="G1009" t="s">
        <v>30</v>
      </c>
      <c r="H1009">
        <v>1449</v>
      </c>
      <c r="I1009" t="str">
        <f>"Creations Community Childrens Centre"</f>
        <v>Creations Community Childrens Centre</v>
      </c>
      <c r="J1009" t="str">
        <f t="shared" si="165"/>
        <v>3/4 year old inclusion support (DSG) Grants And Subscriptions Supplies And Services D C A T C H Childrens Services Unit</v>
      </c>
    </row>
    <row r="1010" spans="1:10" x14ac:dyDescent="0.35">
      <c r="A1010" t="str">
        <f t="shared" si="158"/>
        <v>SEP</v>
      </c>
      <c r="B1010" t="str">
        <f t="shared" si="159"/>
        <v>20</v>
      </c>
      <c r="C1010" t="str">
        <f t="shared" si="160"/>
        <v>2020/21</v>
      </c>
      <c r="D1010" t="str">
        <f>"SC EY 217120"</f>
        <v>SC EY 217120</v>
      </c>
      <c r="E1010" t="str">
        <f t="shared" si="161"/>
        <v>SC</v>
      </c>
      <c r="F1010" t="s">
        <v>32</v>
      </c>
      <c r="G1010" t="s">
        <v>30</v>
      </c>
      <c r="H1010">
        <v>1449</v>
      </c>
      <c r="I1010" t="str">
        <f>"Creations Community Childrens Centre"</f>
        <v>Creations Community Childrens Centre</v>
      </c>
      <c r="J1010" t="str">
        <f t="shared" si="165"/>
        <v>3/4 year old inclusion support (DSG) Grants And Subscriptions Supplies And Services D C A T C H Childrens Services Unit</v>
      </c>
    </row>
    <row r="1011" spans="1:10" x14ac:dyDescent="0.35">
      <c r="A1011" t="str">
        <f t="shared" si="158"/>
        <v>SEP</v>
      </c>
      <c r="B1011" t="str">
        <f t="shared" si="159"/>
        <v>20</v>
      </c>
      <c r="C1011" t="str">
        <f t="shared" si="160"/>
        <v>2020/21</v>
      </c>
      <c r="D1011" t="str">
        <f>"SC EY 217187"</f>
        <v>SC EY 217187</v>
      </c>
      <c r="E1011" t="str">
        <f t="shared" si="161"/>
        <v>SC</v>
      </c>
      <c r="F1011" t="s">
        <v>32</v>
      </c>
      <c r="G1011" t="s">
        <v>30</v>
      </c>
      <c r="H1011">
        <v>1449</v>
      </c>
      <c r="I1011" t="str">
        <f>"Crossley Mill Nursery"</f>
        <v>Crossley Mill Nursery</v>
      </c>
      <c r="J1011" t="str">
        <f t="shared" si="165"/>
        <v>3/4 year old inclusion support (DSG) Grants And Subscriptions Supplies And Services D C A T C H Childrens Services Unit</v>
      </c>
    </row>
    <row r="1012" spans="1:10" x14ac:dyDescent="0.35">
      <c r="A1012" t="str">
        <f t="shared" si="158"/>
        <v>SEP</v>
      </c>
      <c r="B1012" t="str">
        <f t="shared" si="159"/>
        <v>20</v>
      </c>
      <c r="C1012" t="str">
        <f t="shared" si="160"/>
        <v>2020/21</v>
      </c>
      <c r="D1012" t="str">
        <f t="shared" ref="D1012:D1020" si="166">"SC EY 217133"</f>
        <v>SC EY 217133</v>
      </c>
      <c r="E1012" t="str">
        <f t="shared" si="161"/>
        <v>SC</v>
      </c>
      <c r="F1012" t="s">
        <v>32</v>
      </c>
      <c r="G1012" t="s">
        <v>30</v>
      </c>
      <c r="H1012">
        <v>945</v>
      </c>
      <c r="I1012" t="str">
        <f t="shared" ref="I1012:I1020" si="167">"Innovations Children's Centre"</f>
        <v>Innovations Children's Centre</v>
      </c>
      <c r="J1012" t="str">
        <f t="shared" si="165"/>
        <v>3/4 year old inclusion support (DSG) Grants And Subscriptions Supplies And Services D C A T C H Childrens Services Unit</v>
      </c>
    </row>
    <row r="1013" spans="1:10" x14ac:dyDescent="0.35">
      <c r="A1013" t="str">
        <f t="shared" si="158"/>
        <v>SEP</v>
      </c>
      <c r="B1013" t="str">
        <f t="shared" si="159"/>
        <v>20</v>
      </c>
      <c r="C1013" t="str">
        <f t="shared" si="160"/>
        <v>2020/21</v>
      </c>
      <c r="D1013" t="str">
        <f t="shared" si="166"/>
        <v>SC EY 217133</v>
      </c>
      <c r="E1013" t="str">
        <f t="shared" si="161"/>
        <v>SC</v>
      </c>
      <c r="F1013" t="s">
        <v>32</v>
      </c>
      <c r="G1013" t="s">
        <v>30</v>
      </c>
      <c r="H1013">
        <v>1449</v>
      </c>
      <c r="I1013" t="str">
        <f t="shared" si="167"/>
        <v>Innovations Children's Centre</v>
      </c>
      <c r="J1013" t="str">
        <f t="shared" si="165"/>
        <v>3/4 year old inclusion support (DSG) Grants And Subscriptions Supplies And Services D C A T C H Childrens Services Unit</v>
      </c>
    </row>
    <row r="1014" spans="1:10" x14ac:dyDescent="0.35">
      <c r="A1014" t="str">
        <f t="shared" si="158"/>
        <v>SEP</v>
      </c>
      <c r="B1014" t="str">
        <f t="shared" si="159"/>
        <v>20</v>
      </c>
      <c r="C1014" t="str">
        <f t="shared" si="160"/>
        <v>2020/21</v>
      </c>
      <c r="D1014" t="str">
        <f t="shared" si="166"/>
        <v>SC EY 217133</v>
      </c>
      <c r="E1014" t="str">
        <f t="shared" si="161"/>
        <v>SC</v>
      </c>
      <c r="F1014" t="s">
        <v>32</v>
      </c>
      <c r="G1014" t="s">
        <v>30</v>
      </c>
      <c r="H1014">
        <v>945</v>
      </c>
      <c r="I1014" t="str">
        <f t="shared" si="167"/>
        <v>Innovations Children's Centre</v>
      </c>
      <c r="J1014" t="str">
        <f t="shared" si="165"/>
        <v>3/4 year old inclusion support (DSG) Grants And Subscriptions Supplies And Services D C A T C H Childrens Services Unit</v>
      </c>
    </row>
    <row r="1015" spans="1:10" x14ac:dyDescent="0.35">
      <c r="A1015" t="str">
        <f t="shared" si="158"/>
        <v>SEP</v>
      </c>
      <c r="B1015" t="str">
        <f t="shared" si="159"/>
        <v>20</v>
      </c>
      <c r="C1015" t="str">
        <f t="shared" si="160"/>
        <v>2020/21</v>
      </c>
      <c r="D1015" t="str">
        <f t="shared" si="166"/>
        <v>SC EY 217133</v>
      </c>
      <c r="E1015" t="str">
        <f t="shared" si="161"/>
        <v>SC</v>
      </c>
      <c r="F1015" t="s">
        <v>32</v>
      </c>
      <c r="G1015" t="s">
        <v>30</v>
      </c>
      <c r="H1015">
        <v>1147.5</v>
      </c>
      <c r="I1015" t="str">
        <f t="shared" si="167"/>
        <v>Innovations Children's Centre</v>
      </c>
      <c r="J1015" t="str">
        <f t="shared" si="165"/>
        <v>3/4 year old inclusion support (DSG) Grants And Subscriptions Supplies And Services D C A T C H Childrens Services Unit</v>
      </c>
    </row>
    <row r="1016" spans="1:10" x14ac:dyDescent="0.35">
      <c r="A1016" t="str">
        <f t="shared" si="158"/>
        <v>SEP</v>
      </c>
      <c r="B1016" t="str">
        <f t="shared" si="159"/>
        <v>20</v>
      </c>
      <c r="C1016" t="str">
        <f t="shared" si="160"/>
        <v>2020/21</v>
      </c>
      <c r="D1016" t="str">
        <f t="shared" si="166"/>
        <v>SC EY 217133</v>
      </c>
      <c r="E1016" t="str">
        <f t="shared" si="161"/>
        <v>SC</v>
      </c>
      <c r="F1016" t="s">
        <v>32</v>
      </c>
      <c r="G1016" t="s">
        <v>30</v>
      </c>
      <c r="H1016">
        <v>1449</v>
      </c>
      <c r="I1016" t="str">
        <f t="shared" si="167"/>
        <v>Innovations Children's Centre</v>
      </c>
      <c r="J1016" t="str">
        <f t="shared" si="165"/>
        <v>3/4 year old inclusion support (DSG) Grants And Subscriptions Supplies And Services D C A T C H Childrens Services Unit</v>
      </c>
    </row>
    <row r="1017" spans="1:10" x14ac:dyDescent="0.35">
      <c r="A1017" t="str">
        <f t="shared" si="158"/>
        <v>SEP</v>
      </c>
      <c r="B1017" t="str">
        <f t="shared" si="159"/>
        <v>20</v>
      </c>
      <c r="C1017" t="str">
        <f t="shared" si="160"/>
        <v>2020/21</v>
      </c>
      <c r="D1017" t="str">
        <f t="shared" si="166"/>
        <v>SC EY 217133</v>
      </c>
      <c r="E1017" t="str">
        <f t="shared" si="161"/>
        <v>SC</v>
      </c>
      <c r="F1017" t="s">
        <v>32</v>
      </c>
      <c r="G1017" t="s">
        <v>30</v>
      </c>
      <c r="H1017">
        <v>1890</v>
      </c>
      <c r="I1017" t="str">
        <f t="shared" si="167"/>
        <v>Innovations Children's Centre</v>
      </c>
      <c r="J1017" t="str">
        <f t="shared" si="165"/>
        <v>3/4 year old inclusion support (DSG) Grants And Subscriptions Supplies And Services D C A T C H Childrens Services Unit</v>
      </c>
    </row>
    <row r="1018" spans="1:10" x14ac:dyDescent="0.35">
      <c r="A1018" t="str">
        <f t="shared" si="158"/>
        <v>SEP</v>
      </c>
      <c r="B1018" t="str">
        <f t="shared" si="159"/>
        <v>20</v>
      </c>
      <c r="C1018" t="str">
        <f t="shared" si="160"/>
        <v>2020/21</v>
      </c>
      <c r="D1018" t="str">
        <f t="shared" si="166"/>
        <v>SC EY 217133</v>
      </c>
      <c r="E1018" t="str">
        <f t="shared" si="161"/>
        <v>SC</v>
      </c>
      <c r="F1018" t="s">
        <v>32</v>
      </c>
      <c r="G1018" t="s">
        <v>30</v>
      </c>
      <c r="H1018">
        <v>1890</v>
      </c>
      <c r="I1018" t="str">
        <f t="shared" si="167"/>
        <v>Innovations Children's Centre</v>
      </c>
      <c r="J1018" t="str">
        <f t="shared" si="165"/>
        <v>3/4 year old inclusion support (DSG) Grants And Subscriptions Supplies And Services D C A T C H Childrens Services Unit</v>
      </c>
    </row>
    <row r="1019" spans="1:10" x14ac:dyDescent="0.35">
      <c r="A1019" t="str">
        <f t="shared" si="158"/>
        <v>SEP</v>
      </c>
      <c r="B1019" t="str">
        <f t="shared" si="159"/>
        <v>20</v>
      </c>
      <c r="C1019" t="str">
        <f t="shared" si="160"/>
        <v>2020/21</v>
      </c>
      <c r="D1019" t="str">
        <f t="shared" si="166"/>
        <v>SC EY 217133</v>
      </c>
      <c r="E1019" t="str">
        <f t="shared" si="161"/>
        <v>SC</v>
      </c>
      <c r="F1019" t="s">
        <v>32</v>
      </c>
      <c r="G1019" t="s">
        <v>30</v>
      </c>
      <c r="H1019">
        <v>945</v>
      </c>
      <c r="I1019" t="str">
        <f t="shared" si="167"/>
        <v>Innovations Children's Centre</v>
      </c>
      <c r="J1019" t="str">
        <f t="shared" si="165"/>
        <v>3/4 year old inclusion support (DSG) Grants And Subscriptions Supplies And Services D C A T C H Childrens Services Unit</v>
      </c>
    </row>
    <row r="1020" spans="1:10" x14ac:dyDescent="0.35">
      <c r="A1020" t="str">
        <f t="shared" si="158"/>
        <v>SEP</v>
      </c>
      <c r="B1020" t="str">
        <f t="shared" si="159"/>
        <v>20</v>
      </c>
      <c r="C1020" t="str">
        <f t="shared" si="160"/>
        <v>2020/21</v>
      </c>
      <c r="D1020" t="str">
        <f t="shared" si="166"/>
        <v>SC EY 217133</v>
      </c>
      <c r="E1020" t="str">
        <f t="shared" si="161"/>
        <v>SC</v>
      </c>
      <c r="F1020" t="s">
        <v>32</v>
      </c>
      <c r="G1020" t="s">
        <v>30</v>
      </c>
      <c r="H1020">
        <v>1134</v>
      </c>
      <c r="I1020" t="str">
        <f t="shared" si="167"/>
        <v>Innovations Children's Centre</v>
      </c>
      <c r="J1020" t="str">
        <f t="shared" si="165"/>
        <v>3/4 year old inclusion support (DSG) Grants And Subscriptions Supplies And Services D C A T C H Childrens Services Unit</v>
      </c>
    </row>
    <row r="1021" spans="1:10" x14ac:dyDescent="0.35">
      <c r="A1021" t="str">
        <f t="shared" ref="A1021:A1084" si="168">"SEP"</f>
        <v>SEP</v>
      </c>
      <c r="B1021" t="str">
        <f t="shared" si="159"/>
        <v>20</v>
      </c>
      <c r="C1021" t="str">
        <f t="shared" si="160"/>
        <v>2020/21</v>
      </c>
      <c r="D1021" t="str">
        <f>"SC EY 217134"</f>
        <v>SC EY 217134</v>
      </c>
      <c r="E1021" t="str">
        <f t="shared" si="161"/>
        <v>SC</v>
      </c>
      <c r="F1021" t="s">
        <v>32</v>
      </c>
      <c r="G1021" t="s">
        <v>30</v>
      </c>
      <c r="H1021">
        <v>1449</v>
      </c>
      <c r="I1021" t="str">
        <f>"Jubilee Children's Centre"</f>
        <v>Jubilee Children's Centre</v>
      </c>
      <c r="J1021" t="str">
        <f t="shared" si="165"/>
        <v>3/4 year old inclusion support (DSG) Grants And Subscriptions Supplies And Services D C A T C H Childrens Services Unit</v>
      </c>
    </row>
    <row r="1022" spans="1:10" x14ac:dyDescent="0.35">
      <c r="A1022" t="str">
        <f t="shared" si="168"/>
        <v>SEP</v>
      </c>
      <c r="B1022" t="str">
        <f t="shared" si="159"/>
        <v>20</v>
      </c>
      <c r="C1022" t="str">
        <f t="shared" si="160"/>
        <v>2020/21</v>
      </c>
      <c r="D1022" t="str">
        <f>"SC EY 217134"</f>
        <v>SC EY 217134</v>
      </c>
      <c r="E1022" t="str">
        <f t="shared" si="161"/>
        <v>SC</v>
      </c>
      <c r="F1022" t="s">
        <v>32</v>
      </c>
      <c r="G1022" t="s">
        <v>30</v>
      </c>
      <c r="H1022">
        <v>882</v>
      </c>
      <c r="I1022" t="str">
        <f>"Jubilee Children's Centre"</f>
        <v>Jubilee Children's Centre</v>
      </c>
      <c r="J1022" t="str">
        <f t="shared" si="165"/>
        <v>3/4 year old inclusion support (DSG) Grants And Subscriptions Supplies And Services D C A T C H Childrens Services Unit</v>
      </c>
    </row>
    <row r="1023" spans="1:10" x14ac:dyDescent="0.35">
      <c r="A1023" t="str">
        <f t="shared" si="168"/>
        <v>SEP</v>
      </c>
      <c r="B1023" t="str">
        <f t="shared" si="159"/>
        <v>20</v>
      </c>
      <c r="C1023" t="str">
        <f t="shared" si="160"/>
        <v>2020/21</v>
      </c>
      <c r="D1023" t="str">
        <f>"SC EY 217134"</f>
        <v>SC EY 217134</v>
      </c>
      <c r="E1023" t="str">
        <f t="shared" si="161"/>
        <v>SC</v>
      </c>
      <c r="F1023" t="s">
        <v>32</v>
      </c>
      <c r="G1023" t="s">
        <v>30</v>
      </c>
      <c r="H1023">
        <v>1449</v>
      </c>
      <c r="I1023" t="str">
        <f>"Jubilee Children's Centre"</f>
        <v>Jubilee Children's Centre</v>
      </c>
      <c r="J1023" t="str">
        <f t="shared" si="165"/>
        <v>3/4 year old inclusion support (DSG) Grants And Subscriptions Supplies And Services D C A T C H Childrens Services Unit</v>
      </c>
    </row>
    <row r="1024" spans="1:10" x14ac:dyDescent="0.35">
      <c r="A1024" t="str">
        <f t="shared" si="168"/>
        <v>SEP</v>
      </c>
      <c r="B1024" t="str">
        <f t="shared" si="159"/>
        <v>20</v>
      </c>
      <c r="C1024" t="str">
        <f t="shared" si="160"/>
        <v>2020/21</v>
      </c>
      <c r="D1024" t="str">
        <f>"SC EY 217107"</f>
        <v>SC EY 217107</v>
      </c>
      <c r="E1024" t="str">
        <f t="shared" si="161"/>
        <v>SC</v>
      </c>
      <c r="F1024" t="s">
        <v>32</v>
      </c>
      <c r="G1024" t="s">
        <v>30</v>
      </c>
      <c r="H1024">
        <v>945</v>
      </c>
      <c r="I1024" t="str">
        <f>"Ash Green Childrens Centre"</f>
        <v>Ash Green Childrens Centre</v>
      </c>
      <c r="J1024" t="str">
        <f t="shared" si="165"/>
        <v>3/4 year old inclusion support (DSG) Grants And Subscriptions Supplies And Services D C A T C H Childrens Services Unit</v>
      </c>
    </row>
    <row r="1025" spans="1:10" x14ac:dyDescent="0.35">
      <c r="A1025" t="str">
        <f t="shared" si="168"/>
        <v>SEP</v>
      </c>
      <c r="B1025" t="str">
        <f t="shared" si="159"/>
        <v>20</v>
      </c>
      <c r="C1025" t="str">
        <f t="shared" si="160"/>
        <v>2020/21</v>
      </c>
      <c r="D1025" t="str">
        <f>"SC EY 217107"</f>
        <v>SC EY 217107</v>
      </c>
      <c r="E1025" t="str">
        <f t="shared" si="161"/>
        <v>SC</v>
      </c>
      <c r="F1025" t="s">
        <v>32</v>
      </c>
      <c r="G1025" t="s">
        <v>30</v>
      </c>
      <c r="H1025">
        <v>945</v>
      </c>
      <c r="I1025" t="str">
        <f>"Ash Green Childrens Centre"</f>
        <v>Ash Green Childrens Centre</v>
      </c>
      <c r="J1025" t="str">
        <f t="shared" si="165"/>
        <v>3/4 year old inclusion support (DSG) Grants And Subscriptions Supplies And Services D C A T C H Childrens Services Unit</v>
      </c>
    </row>
    <row r="1026" spans="1:10" x14ac:dyDescent="0.35">
      <c r="A1026" t="str">
        <f t="shared" si="168"/>
        <v>SEP</v>
      </c>
      <c r="B1026" t="str">
        <f t="shared" ref="B1026:B1089" si="169">"20"</f>
        <v>20</v>
      </c>
      <c r="C1026" t="str">
        <f t="shared" ref="C1026:C1089" si="170">"2020/21"</f>
        <v>2020/21</v>
      </c>
      <c r="D1026" t="str">
        <f>"SC EY 217135"</f>
        <v>SC EY 217135</v>
      </c>
      <c r="E1026" t="str">
        <f t="shared" ref="E1026:E1089" si="171">LEFT(D1026,2)</f>
        <v>SC</v>
      </c>
      <c r="F1026" t="s">
        <v>32</v>
      </c>
      <c r="G1026" t="s">
        <v>30</v>
      </c>
      <c r="H1026">
        <v>2155.5</v>
      </c>
      <c r="I1026" t="str">
        <f>"Kevin Pearce Childrens Centre"</f>
        <v>Kevin Pearce Childrens Centre</v>
      </c>
      <c r="J1026" t="str">
        <f t="shared" si="165"/>
        <v>3/4 year old inclusion support (DSG) Grants And Subscriptions Supplies And Services D C A T C H Childrens Services Unit</v>
      </c>
    </row>
    <row r="1027" spans="1:10" x14ac:dyDescent="0.35">
      <c r="A1027" t="str">
        <f t="shared" si="168"/>
        <v>SEP</v>
      </c>
      <c r="B1027" t="str">
        <f t="shared" si="169"/>
        <v>20</v>
      </c>
      <c r="C1027" t="str">
        <f t="shared" si="170"/>
        <v>2020/21</v>
      </c>
      <c r="D1027" t="str">
        <f>"SC EY 217135"</f>
        <v>SC EY 217135</v>
      </c>
      <c r="E1027" t="str">
        <f t="shared" si="171"/>
        <v>SC</v>
      </c>
      <c r="F1027" t="s">
        <v>32</v>
      </c>
      <c r="G1027" t="s">
        <v>30</v>
      </c>
      <c r="H1027">
        <v>1449</v>
      </c>
      <c r="I1027" t="str">
        <f>"Kevin Pearce Childrens Centre"</f>
        <v>Kevin Pearce Childrens Centre</v>
      </c>
      <c r="J1027" t="str">
        <f t="shared" si="165"/>
        <v>3/4 year old inclusion support (DSG) Grants And Subscriptions Supplies And Services D C A T C H Childrens Services Unit</v>
      </c>
    </row>
    <row r="1028" spans="1:10" x14ac:dyDescent="0.35">
      <c r="A1028" t="str">
        <f t="shared" si="168"/>
        <v>SEP</v>
      </c>
      <c r="B1028" t="str">
        <f t="shared" si="169"/>
        <v>20</v>
      </c>
      <c r="C1028" t="str">
        <f t="shared" si="170"/>
        <v>2020/21</v>
      </c>
      <c r="D1028" t="str">
        <f>"SC EY 217135"</f>
        <v>SC EY 217135</v>
      </c>
      <c r="E1028" t="str">
        <f t="shared" si="171"/>
        <v>SC</v>
      </c>
      <c r="F1028" t="s">
        <v>32</v>
      </c>
      <c r="G1028" t="s">
        <v>30</v>
      </c>
      <c r="H1028">
        <v>1449</v>
      </c>
      <c r="I1028" t="str">
        <f>"Kevin Pearce Childrens Centre"</f>
        <v>Kevin Pearce Childrens Centre</v>
      </c>
      <c r="J1028" t="str">
        <f t="shared" si="165"/>
        <v>3/4 year old inclusion support (DSG) Grants And Subscriptions Supplies And Services D C A T C H Childrens Services Unit</v>
      </c>
    </row>
    <row r="1029" spans="1:10" x14ac:dyDescent="0.35">
      <c r="A1029" t="str">
        <f t="shared" si="168"/>
        <v>SEP</v>
      </c>
      <c r="B1029" t="str">
        <f t="shared" si="169"/>
        <v>20</v>
      </c>
      <c r="C1029" t="str">
        <f t="shared" si="170"/>
        <v>2020/21</v>
      </c>
      <c r="D1029" t="str">
        <f>"SC EY 217156"</f>
        <v>SC EY 217156</v>
      </c>
      <c r="E1029" t="str">
        <f t="shared" si="171"/>
        <v>SC</v>
      </c>
      <c r="F1029" t="s">
        <v>32</v>
      </c>
      <c r="G1029" t="s">
        <v>30</v>
      </c>
      <c r="H1029">
        <v>1449</v>
      </c>
      <c r="I1029" t="str">
        <f>"St Augustines Centre"</f>
        <v>St Augustines Centre</v>
      </c>
      <c r="J1029" t="str">
        <f t="shared" si="165"/>
        <v>3/4 year old inclusion support (DSG) Grants And Subscriptions Supplies And Services D C A T C H Childrens Services Unit</v>
      </c>
    </row>
    <row r="1030" spans="1:10" x14ac:dyDescent="0.35">
      <c r="A1030" t="str">
        <f t="shared" si="168"/>
        <v>SEP</v>
      </c>
      <c r="B1030" t="str">
        <f t="shared" si="169"/>
        <v>20</v>
      </c>
      <c r="C1030" t="str">
        <f t="shared" si="170"/>
        <v>2020/21</v>
      </c>
      <c r="D1030" t="str">
        <f>"SC EY 217153"</f>
        <v>SC EY 217153</v>
      </c>
      <c r="E1030" t="str">
        <f t="shared" si="171"/>
        <v>SC</v>
      </c>
      <c r="F1030" t="s">
        <v>32</v>
      </c>
      <c r="G1030" t="s">
        <v>30</v>
      </c>
      <c r="H1030">
        <v>945</v>
      </c>
      <c r="I1030" t="str">
        <f>"Sowood Preschool &amp; Community Association"</f>
        <v>Sowood Preschool &amp; Community Association</v>
      </c>
      <c r="J1030" t="str">
        <f t="shared" si="165"/>
        <v>3/4 year old inclusion support (DSG) Grants And Subscriptions Supplies And Services D C A T C H Childrens Services Unit</v>
      </c>
    </row>
    <row r="1031" spans="1:10" x14ac:dyDescent="0.35">
      <c r="A1031" t="str">
        <f t="shared" si="168"/>
        <v>SEP</v>
      </c>
      <c r="B1031" t="str">
        <f t="shared" si="169"/>
        <v>20</v>
      </c>
      <c r="C1031" t="str">
        <f t="shared" si="170"/>
        <v>2020/21</v>
      </c>
      <c r="D1031" t="str">
        <f>"SC EY 217163"</f>
        <v>SC EY 217163</v>
      </c>
      <c r="E1031" t="str">
        <f t="shared" si="171"/>
        <v>SC</v>
      </c>
      <c r="F1031" t="s">
        <v>32</v>
      </c>
      <c r="G1031" t="s">
        <v>30</v>
      </c>
      <c r="H1031">
        <v>918</v>
      </c>
      <c r="I1031" t="str">
        <f>"Todmorden Children's Centre"</f>
        <v>Todmorden Children's Centre</v>
      </c>
      <c r="J1031" t="str">
        <f t="shared" si="165"/>
        <v>3/4 year old inclusion support (DSG) Grants And Subscriptions Supplies And Services D C A T C H Childrens Services Unit</v>
      </c>
    </row>
    <row r="1032" spans="1:10" x14ac:dyDescent="0.35">
      <c r="A1032" t="str">
        <f t="shared" si="168"/>
        <v>SEP</v>
      </c>
      <c r="B1032" t="str">
        <f t="shared" si="169"/>
        <v>20</v>
      </c>
      <c r="C1032" t="str">
        <f t="shared" si="170"/>
        <v>2020/21</v>
      </c>
      <c r="D1032" t="str">
        <f>"SC EY 217170"</f>
        <v>SC EY 217170</v>
      </c>
      <c r="E1032" t="str">
        <f t="shared" si="171"/>
        <v>SC</v>
      </c>
      <c r="F1032" t="s">
        <v>32</v>
      </c>
      <c r="G1032" t="s">
        <v>30</v>
      </c>
      <c r="H1032">
        <v>945</v>
      </c>
      <c r="I1032" t="str">
        <f>"Wellholme Children's Centre"</f>
        <v>Wellholme Children's Centre</v>
      </c>
      <c r="J1032" t="str">
        <f t="shared" si="165"/>
        <v>3/4 year old inclusion support (DSG) Grants And Subscriptions Supplies And Services D C A T C H Childrens Services Unit</v>
      </c>
    </row>
    <row r="1033" spans="1:10" x14ac:dyDescent="0.35">
      <c r="A1033" t="str">
        <f t="shared" si="168"/>
        <v>SEP</v>
      </c>
      <c r="B1033" t="str">
        <f t="shared" si="169"/>
        <v>20</v>
      </c>
      <c r="C1033" t="str">
        <f t="shared" si="170"/>
        <v>2020/21</v>
      </c>
      <c r="D1033" t="str">
        <f>"SC PF 215479"</f>
        <v>SC PF 215479</v>
      </c>
      <c r="E1033" t="str">
        <f t="shared" si="171"/>
        <v>SC</v>
      </c>
      <c r="F1033" t="s">
        <v>33</v>
      </c>
      <c r="G1033" t="s">
        <v>30</v>
      </c>
      <c r="H1033">
        <v>3385.2</v>
      </c>
      <c r="I1033" t="str">
        <f>"Barnardos (Fostering &amp; Adoption)"</f>
        <v>Barnardos (Fostering &amp; Adoption)</v>
      </c>
      <c r="J1033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034" spans="1:10" x14ac:dyDescent="0.35">
      <c r="A1034" t="str">
        <f t="shared" si="168"/>
        <v>SEP</v>
      </c>
      <c r="B1034" t="str">
        <f t="shared" si="169"/>
        <v>20</v>
      </c>
      <c r="C1034" t="str">
        <f t="shared" si="170"/>
        <v>2020/21</v>
      </c>
      <c r="D1034" t="str">
        <f>"SC PF 215479"</f>
        <v>SC PF 215479</v>
      </c>
      <c r="E1034" t="str">
        <f t="shared" si="171"/>
        <v>SC</v>
      </c>
      <c r="F1034" t="s">
        <v>33</v>
      </c>
      <c r="G1034" t="s">
        <v>30</v>
      </c>
      <c r="H1034">
        <v>3385.2</v>
      </c>
      <c r="I1034" t="str">
        <f>"Barnardos (Fostering &amp; Adoption)"</f>
        <v>Barnardos (Fostering &amp; Adoption)</v>
      </c>
      <c r="J1034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035" spans="1:10" x14ac:dyDescent="0.35">
      <c r="A1035" t="str">
        <f t="shared" si="168"/>
        <v>SEP</v>
      </c>
      <c r="B1035" t="str">
        <f t="shared" si="169"/>
        <v>20</v>
      </c>
      <c r="C1035" t="str">
        <f t="shared" si="170"/>
        <v>2020/21</v>
      </c>
      <c r="D1035" t="str">
        <f>"SC PF 215478"</f>
        <v>SC PF 215478</v>
      </c>
      <c r="E1035" t="str">
        <f t="shared" si="171"/>
        <v>SC</v>
      </c>
      <c r="F1035" t="s">
        <v>33</v>
      </c>
      <c r="G1035" t="s">
        <v>30</v>
      </c>
      <c r="H1035">
        <v>3385.2</v>
      </c>
      <c r="I1035" t="str">
        <f>"Barnardos (Fostering &amp; Adoption)"</f>
        <v>Barnardos (Fostering &amp; Adoption)</v>
      </c>
      <c r="J1035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036" spans="1:10" x14ac:dyDescent="0.35">
      <c r="A1036" t="str">
        <f t="shared" si="168"/>
        <v>SEP</v>
      </c>
      <c r="B1036" t="str">
        <f t="shared" si="169"/>
        <v>20</v>
      </c>
      <c r="C1036" t="str">
        <f t="shared" si="170"/>
        <v>2020/21</v>
      </c>
      <c r="D1036" t="str">
        <f>"SC PF 215478"</f>
        <v>SC PF 215478</v>
      </c>
      <c r="E1036" t="str">
        <f t="shared" si="171"/>
        <v>SC</v>
      </c>
      <c r="F1036" t="s">
        <v>33</v>
      </c>
      <c r="G1036" t="s">
        <v>30</v>
      </c>
      <c r="H1036">
        <v>3385.2</v>
      </c>
      <c r="I1036" t="str">
        <f>"Barnardos (Fostering &amp; Adoption)"</f>
        <v>Barnardos (Fostering &amp; Adoption)</v>
      </c>
      <c r="J1036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037" spans="1:10" x14ac:dyDescent="0.35">
      <c r="A1037" t="str">
        <f t="shared" si="168"/>
        <v>SEP</v>
      </c>
      <c r="B1037" t="str">
        <f t="shared" si="169"/>
        <v>20</v>
      </c>
      <c r="C1037" t="str">
        <f t="shared" si="170"/>
        <v>2020/21</v>
      </c>
      <c r="D1037" t="str">
        <f>"SS AD 115358"</f>
        <v>SS AD 115358</v>
      </c>
      <c r="E1037" t="str">
        <f t="shared" si="171"/>
        <v>SS</v>
      </c>
      <c r="F1037" t="s">
        <v>25</v>
      </c>
      <c r="G1037" t="s">
        <v>22</v>
      </c>
      <c r="H1037">
        <v>2253</v>
      </c>
      <c r="I1037" t="str">
        <f>"ADASS"</f>
        <v>ADASS</v>
      </c>
      <c r="J1037" t="str">
        <f>"Subscriptions General Grants And Subscriptions Supplies And Services AHSC Strategic Management Adult Health &amp; Social Care"</f>
        <v>Subscriptions General Grants And Subscriptions Supplies And Services AHSC Strategic Management Adult Health &amp; Social Care</v>
      </c>
    </row>
    <row r="1038" spans="1:10" x14ac:dyDescent="0.35">
      <c r="A1038" t="str">
        <f t="shared" si="168"/>
        <v>SEP</v>
      </c>
      <c r="B1038" t="str">
        <f t="shared" si="169"/>
        <v>20</v>
      </c>
      <c r="C1038" t="str">
        <f t="shared" si="170"/>
        <v>2020/21</v>
      </c>
      <c r="D1038" t="str">
        <f>"SS CO 112753"</f>
        <v>SS CO 112753</v>
      </c>
      <c r="E1038" t="str">
        <f t="shared" si="171"/>
        <v>SS</v>
      </c>
      <c r="F1038" t="s">
        <v>25</v>
      </c>
      <c r="G1038" t="s">
        <v>22</v>
      </c>
      <c r="H1038">
        <v>26250</v>
      </c>
      <c r="I1038" t="str">
        <f>"Calderdale Smartmove"</f>
        <v>Calderdale Smartmove</v>
      </c>
      <c r="J1038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1039" spans="1:10" x14ac:dyDescent="0.35">
      <c r="A1039" t="str">
        <f t="shared" si="168"/>
        <v>SEP</v>
      </c>
      <c r="B1039" t="str">
        <f t="shared" si="169"/>
        <v>20</v>
      </c>
      <c r="C1039" t="str">
        <f t="shared" si="170"/>
        <v>2020/21</v>
      </c>
      <c r="D1039" t="str">
        <f>"SS SL 113560"</f>
        <v>SS SL 113560</v>
      </c>
      <c r="E1039" t="str">
        <f t="shared" si="171"/>
        <v>SS</v>
      </c>
      <c r="F1039" t="s">
        <v>25</v>
      </c>
      <c r="G1039" t="s">
        <v>22</v>
      </c>
      <c r="H1039">
        <v>2639.96</v>
      </c>
      <c r="I1039" t="str">
        <f>"Camphill Village Trust"</f>
        <v>Camphill Village Trust</v>
      </c>
      <c r="J1039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1040" spans="1:10" x14ac:dyDescent="0.35">
      <c r="A1040" t="str">
        <f t="shared" si="168"/>
        <v>SEP</v>
      </c>
      <c r="B1040" t="str">
        <f t="shared" si="169"/>
        <v>20</v>
      </c>
      <c r="C1040" t="str">
        <f t="shared" si="170"/>
        <v>2020/21</v>
      </c>
      <c r="D1040" t="str">
        <f>"SS SL 113560"</f>
        <v>SS SL 113560</v>
      </c>
      <c r="E1040" t="str">
        <f t="shared" si="171"/>
        <v>SS</v>
      </c>
      <c r="F1040" t="s">
        <v>25</v>
      </c>
      <c r="G1040" t="s">
        <v>22</v>
      </c>
      <c r="H1040">
        <v>2639.96</v>
      </c>
      <c r="I1040" t="str">
        <f>"Camphill Village Trust"</f>
        <v>Camphill Village Trust</v>
      </c>
      <c r="J1040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1041" spans="1:10" x14ac:dyDescent="0.35">
      <c r="A1041" t="str">
        <f t="shared" si="168"/>
        <v>SEP</v>
      </c>
      <c r="B1041" t="str">
        <f t="shared" si="169"/>
        <v>20</v>
      </c>
      <c r="C1041" t="str">
        <f t="shared" si="170"/>
        <v>2020/21</v>
      </c>
      <c r="D1041" t="str">
        <f t="shared" ref="D1041:D1054" si="172">"SS SL 114909"</f>
        <v>SS SL 114909</v>
      </c>
      <c r="E1041" t="str">
        <f t="shared" si="171"/>
        <v>SS</v>
      </c>
      <c r="F1041" t="s">
        <v>25</v>
      </c>
      <c r="G1041" t="s">
        <v>22</v>
      </c>
      <c r="H1041">
        <v>3480.8</v>
      </c>
      <c r="I1041" t="str">
        <f t="shared" ref="I1041:I1072" si="173">"Possabilities CIC"</f>
        <v>Possabilities CIC</v>
      </c>
      <c r="J1041" t="str">
        <f t="shared" ref="J1041:J1054" si="174">"Vale Street (Possibilities) Voluntary Associations Agency And Contracted Services Supported Living Adult Health &amp; Social Care"</f>
        <v>Vale Street (Possibilities) Voluntary Associations Agency And Contracted Services Supported Living Adult Health &amp; Social Care</v>
      </c>
    </row>
    <row r="1042" spans="1:10" x14ac:dyDescent="0.35">
      <c r="A1042" t="str">
        <f t="shared" si="168"/>
        <v>SEP</v>
      </c>
      <c r="B1042" t="str">
        <f t="shared" si="169"/>
        <v>20</v>
      </c>
      <c r="C1042" t="str">
        <f t="shared" si="170"/>
        <v>2020/21</v>
      </c>
      <c r="D1042" t="str">
        <f t="shared" si="172"/>
        <v>SS SL 114909</v>
      </c>
      <c r="E1042" t="str">
        <f t="shared" si="171"/>
        <v>SS</v>
      </c>
      <c r="F1042" t="s">
        <v>25</v>
      </c>
      <c r="G1042" t="s">
        <v>22</v>
      </c>
      <c r="H1042">
        <v>3022.8</v>
      </c>
      <c r="I1042" t="str">
        <f t="shared" si="173"/>
        <v>Possabilities CIC</v>
      </c>
      <c r="J1042" t="str">
        <f t="shared" si="174"/>
        <v>Vale Street (Possibilities) Voluntary Associations Agency And Contracted Services Supported Living Adult Health &amp; Social Care</v>
      </c>
    </row>
    <row r="1043" spans="1:10" x14ac:dyDescent="0.35">
      <c r="A1043" t="str">
        <f t="shared" si="168"/>
        <v>SEP</v>
      </c>
      <c r="B1043" t="str">
        <f t="shared" si="169"/>
        <v>20</v>
      </c>
      <c r="C1043" t="str">
        <f t="shared" si="170"/>
        <v>2020/21</v>
      </c>
      <c r="D1043" t="str">
        <f t="shared" si="172"/>
        <v>SS SL 114909</v>
      </c>
      <c r="E1043" t="str">
        <f t="shared" si="171"/>
        <v>SS</v>
      </c>
      <c r="F1043" t="s">
        <v>25</v>
      </c>
      <c r="G1043" t="s">
        <v>22</v>
      </c>
      <c r="H1043">
        <v>2656.4</v>
      </c>
      <c r="I1043" t="str">
        <f t="shared" si="173"/>
        <v>Possabilities CIC</v>
      </c>
      <c r="J1043" t="str">
        <f t="shared" si="174"/>
        <v>Vale Street (Possibilities) Voluntary Associations Agency And Contracted Services Supported Living Adult Health &amp; Social Care</v>
      </c>
    </row>
    <row r="1044" spans="1:10" x14ac:dyDescent="0.35">
      <c r="A1044" t="str">
        <f t="shared" si="168"/>
        <v>SEP</v>
      </c>
      <c r="B1044" t="str">
        <f t="shared" si="169"/>
        <v>20</v>
      </c>
      <c r="C1044" t="str">
        <f t="shared" si="170"/>
        <v>2020/21</v>
      </c>
      <c r="D1044" t="str">
        <f t="shared" si="172"/>
        <v>SS SL 114909</v>
      </c>
      <c r="E1044" t="str">
        <f t="shared" si="171"/>
        <v>SS</v>
      </c>
      <c r="F1044" t="s">
        <v>25</v>
      </c>
      <c r="G1044" t="s">
        <v>22</v>
      </c>
      <c r="H1044">
        <v>3022.8</v>
      </c>
      <c r="I1044" t="str">
        <f t="shared" si="173"/>
        <v>Possabilities CIC</v>
      </c>
      <c r="J1044" t="str">
        <f t="shared" si="174"/>
        <v>Vale Street (Possibilities) Voluntary Associations Agency And Contracted Services Supported Living Adult Health &amp; Social Care</v>
      </c>
    </row>
    <row r="1045" spans="1:10" x14ac:dyDescent="0.35">
      <c r="A1045" t="str">
        <f t="shared" si="168"/>
        <v>SEP</v>
      </c>
      <c r="B1045" t="str">
        <f t="shared" si="169"/>
        <v>20</v>
      </c>
      <c r="C1045" t="str">
        <f t="shared" si="170"/>
        <v>2020/21</v>
      </c>
      <c r="D1045" t="str">
        <f t="shared" si="172"/>
        <v>SS SL 114909</v>
      </c>
      <c r="E1045" t="str">
        <f t="shared" si="171"/>
        <v>SS</v>
      </c>
      <c r="F1045" t="s">
        <v>25</v>
      </c>
      <c r="G1045" t="s">
        <v>22</v>
      </c>
      <c r="H1045">
        <v>2748</v>
      </c>
      <c r="I1045" t="str">
        <f t="shared" si="173"/>
        <v>Possabilities CIC</v>
      </c>
      <c r="J1045" t="str">
        <f t="shared" si="174"/>
        <v>Vale Street (Possibilities) Voluntary Associations Agency And Contracted Services Supported Living Adult Health &amp; Social Care</v>
      </c>
    </row>
    <row r="1046" spans="1:10" x14ac:dyDescent="0.35">
      <c r="A1046" t="str">
        <f t="shared" si="168"/>
        <v>SEP</v>
      </c>
      <c r="B1046" t="str">
        <f t="shared" si="169"/>
        <v>20</v>
      </c>
      <c r="C1046" t="str">
        <f t="shared" si="170"/>
        <v>2020/21</v>
      </c>
      <c r="D1046" t="str">
        <f t="shared" si="172"/>
        <v>SS SL 114909</v>
      </c>
      <c r="E1046" t="str">
        <f t="shared" si="171"/>
        <v>SS</v>
      </c>
      <c r="F1046" t="s">
        <v>25</v>
      </c>
      <c r="G1046" t="s">
        <v>22</v>
      </c>
      <c r="H1046">
        <v>1533</v>
      </c>
      <c r="I1046" t="str">
        <f t="shared" si="173"/>
        <v>Possabilities CIC</v>
      </c>
      <c r="J1046" t="str">
        <f t="shared" si="174"/>
        <v>Vale Street (Possibilities) Voluntary Associations Agency And Contracted Services Supported Living Adult Health &amp; Social Care</v>
      </c>
    </row>
    <row r="1047" spans="1:10" x14ac:dyDescent="0.35">
      <c r="A1047" t="str">
        <f t="shared" si="168"/>
        <v>SEP</v>
      </c>
      <c r="B1047" t="str">
        <f t="shared" si="169"/>
        <v>20</v>
      </c>
      <c r="C1047" t="str">
        <f t="shared" si="170"/>
        <v>2020/21</v>
      </c>
      <c r="D1047" t="str">
        <f t="shared" si="172"/>
        <v>SS SL 114909</v>
      </c>
      <c r="E1047" t="str">
        <f t="shared" si="171"/>
        <v>SS</v>
      </c>
      <c r="F1047" t="s">
        <v>25</v>
      </c>
      <c r="G1047" t="s">
        <v>22</v>
      </c>
      <c r="H1047">
        <v>-0.64</v>
      </c>
      <c r="I1047" t="str">
        <f t="shared" si="173"/>
        <v>Possabilities CIC</v>
      </c>
      <c r="J1047" t="str">
        <f t="shared" si="174"/>
        <v>Vale Street (Possibilities) Voluntary Associations Agency And Contracted Services Supported Living Adult Health &amp; Social Care</v>
      </c>
    </row>
    <row r="1048" spans="1:10" x14ac:dyDescent="0.35">
      <c r="A1048" t="str">
        <f t="shared" si="168"/>
        <v>SEP</v>
      </c>
      <c r="B1048" t="str">
        <f t="shared" si="169"/>
        <v>20</v>
      </c>
      <c r="C1048" t="str">
        <f t="shared" si="170"/>
        <v>2020/21</v>
      </c>
      <c r="D1048" t="str">
        <f t="shared" si="172"/>
        <v>SS SL 114909</v>
      </c>
      <c r="E1048" t="str">
        <f t="shared" si="171"/>
        <v>SS</v>
      </c>
      <c r="F1048" t="s">
        <v>25</v>
      </c>
      <c r="G1048" t="s">
        <v>22</v>
      </c>
      <c r="H1048">
        <v>1511.4</v>
      </c>
      <c r="I1048" t="str">
        <f t="shared" si="173"/>
        <v>Possabilities CIC</v>
      </c>
      <c r="J1048" t="str">
        <f t="shared" si="174"/>
        <v>Vale Street (Possibilities) Voluntary Associations Agency And Contracted Services Supported Living Adult Health &amp; Social Care</v>
      </c>
    </row>
    <row r="1049" spans="1:10" x14ac:dyDescent="0.35">
      <c r="A1049" t="str">
        <f t="shared" si="168"/>
        <v>SEP</v>
      </c>
      <c r="B1049" t="str">
        <f t="shared" si="169"/>
        <v>20</v>
      </c>
      <c r="C1049" t="str">
        <f t="shared" si="170"/>
        <v>2020/21</v>
      </c>
      <c r="D1049" t="str">
        <f t="shared" si="172"/>
        <v>SS SL 114909</v>
      </c>
      <c r="E1049" t="str">
        <f t="shared" si="171"/>
        <v>SS</v>
      </c>
      <c r="F1049" t="s">
        <v>25</v>
      </c>
      <c r="G1049" t="s">
        <v>22</v>
      </c>
      <c r="H1049">
        <v>1374</v>
      </c>
      <c r="I1049" t="str">
        <f t="shared" si="173"/>
        <v>Possabilities CIC</v>
      </c>
      <c r="J1049" t="str">
        <f t="shared" si="174"/>
        <v>Vale Street (Possibilities) Voluntary Associations Agency And Contracted Services Supported Living Adult Health &amp; Social Care</v>
      </c>
    </row>
    <row r="1050" spans="1:10" x14ac:dyDescent="0.35">
      <c r="A1050" t="str">
        <f t="shared" si="168"/>
        <v>SEP</v>
      </c>
      <c r="B1050" t="str">
        <f t="shared" si="169"/>
        <v>20</v>
      </c>
      <c r="C1050" t="str">
        <f t="shared" si="170"/>
        <v>2020/21</v>
      </c>
      <c r="D1050" t="str">
        <f t="shared" si="172"/>
        <v>SS SL 114909</v>
      </c>
      <c r="E1050" t="str">
        <f t="shared" si="171"/>
        <v>SS</v>
      </c>
      <c r="F1050" t="s">
        <v>25</v>
      </c>
      <c r="G1050" t="s">
        <v>22</v>
      </c>
      <c r="H1050">
        <v>1328.2</v>
      </c>
      <c r="I1050" t="str">
        <f t="shared" si="173"/>
        <v>Possabilities CIC</v>
      </c>
      <c r="J1050" t="str">
        <f t="shared" si="174"/>
        <v>Vale Street (Possibilities) Voluntary Associations Agency And Contracted Services Supported Living Adult Health &amp; Social Care</v>
      </c>
    </row>
    <row r="1051" spans="1:10" x14ac:dyDescent="0.35">
      <c r="A1051" t="str">
        <f t="shared" si="168"/>
        <v>SEP</v>
      </c>
      <c r="B1051" t="str">
        <f t="shared" si="169"/>
        <v>20</v>
      </c>
      <c r="C1051" t="str">
        <f t="shared" si="170"/>
        <v>2020/21</v>
      </c>
      <c r="D1051" t="str">
        <f t="shared" si="172"/>
        <v>SS SL 114909</v>
      </c>
      <c r="E1051" t="str">
        <f t="shared" si="171"/>
        <v>SS</v>
      </c>
      <c r="F1051" t="s">
        <v>25</v>
      </c>
      <c r="G1051" t="s">
        <v>22</v>
      </c>
      <c r="H1051">
        <v>-0.32</v>
      </c>
      <c r="I1051" t="str">
        <f t="shared" si="173"/>
        <v>Possabilities CIC</v>
      </c>
      <c r="J1051" t="str">
        <f t="shared" si="174"/>
        <v>Vale Street (Possibilities) Voluntary Associations Agency And Contracted Services Supported Living Adult Health &amp; Social Care</v>
      </c>
    </row>
    <row r="1052" spans="1:10" x14ac:dyDescent="0.35">
      <c r="A1052" t="str">
        <f t="shared" si="168"/>
        <v>SEP</v>
      </c>
      <c r="B1052" t="str">
        <f t="shared" si="169"/>
        <v>20</v>
      </c>
      <c r="C1052" t="str">
        <f t="shared" si="170"/>
        <v>2020/21</v>
      </c>
      <c r="D1052" t="str">
        <f t="shared" si="172"/>
        <v>SS SL 114909</v>
      </c>
      <c r="E1052" t="str">
        <f t="shared" si="171"/>
        <v>SS</v>
      </c>
      <c r="F1052" t="s">
        <v>25</v>
      </c>
      <c r="G1052" t="s">
        <v>22</v>
      </c>
      <c r="H1052">
        <v>1511.4</v>
      </c>
      <c r="I1052" t="str">
        <f t="shared" si="173"/>
        <v>Possabilities CIC</v>
      </c>
      <c r="J1052" t="str">
        <f t="shared" si="174"/>
        <v>Vale Street (Possibilities) Voluntary Associations Agency And Contracted Services Supported Living Adult Health &amp; Social Care</v>
      </c>
    </row>
    <row r="1053" spans="1:10" x14ac:dyDescent="0.35">
      <c r="A1053" t="str">
        <f t="shared" si="168"/>
        <v>SEP</v>
      </c>
      <c r="B1053" t="str">
        <f t="shared" si="169"/>
        <v>20</v>
      </c>
      <c r="C1053" t="str">
        <f t="shared" si="170"/>
        <v>2020/21</v>
      </c>
      <c r="D1053" t="str">
        <f t="shared" si="172"/>
        <v>SS SL 114909</v>
      </c>
      <c r="E1053" t="str">
        <f t="shared" si="171"/>
        <v>SS</v>
      </c>
      <c r="F1053" t="s">
        <v>25</v>
      </c>
      <c r="G1053" t="s">
        <v>22</v>
      </c>
      <c r="H1053">
        <v>766.5</v>
      </c>
      <c r="I1053" t="str">
        <f t="shared" si="173"/>
        <v>Possabilities CIC</v>
      </c>
      <c r="J1053" t="str">
        <f t="shared" si="174"/>
        <v>Vale Street (Possibilities) Voluntary Associations Agency And Contracted Services Supported Living Adult Health &amp; Social Care</v>
      </c>
    </row>
    <row r="1054" spans="1:10" x14ac:dyDescent="0.35">
      <c r="A1054" t="str">
        <f t="shared" si="168"/>
        <v>SEP</v>
      </c>
      <c r="B1054" t="str">
        <f t="shared" si="169"/>
        <v>20</v>
      </c>
      <c r="C1054" t="str">
        <f t="shared" si="170"/>
        <v>2020/21</v>
      </c>
      <c r="D1054" t="str">
        <f t="shared" si="172"/>
        <v>SS SL 114909</v>
      </c>
      <c r="E1054" t="str">
        <f t="shared" si="171"/>
        <v>SS</v>
      </c>
      <c r="F1054" t="s">
        <v>25</v>
      </c>
      <c r="G1054" t="s">
        <v>22</v>
      </c>
      <c r="H1054">
        <v>1740.4</v>
      </c>
      <c r="I1054" t="str">
        <f t="shared" si="173"/>
        <v>Possabilities CIC</v>
      </c>
      <c r="J1054" t="str">
        <f t="shared" si="174"/>
        <v>Vale Street (Possibilities) Voluntary Associations Agency And Contracted Services Supported Living Adult Health &amp; Social Care</v>
      </c>
    </row>
    <row r="1055" spans="1:10" x14ac:dyDescent="0.35">
      <c r="A1055" t="str">
        <f t="shared" si="168"/>
        <v>SEP</v>
      </c>
      <c r="B1055" t="str">
        <f t="shared" si="169"/>
        <v>20</v>
      </c>
      <c r="C1055" t="str">
        <f t="shared" si="170"/>
        <v>2020/21</v>
      </c>
      <c r="D1055" t="str">
        <f t="shared" ref="D1055:D1062" si="175">"SS SL 114907"</f>
        <v>SS SL 114907</v>
      </c>
      <c r="E1055" t="str">
        <f t="shared" si="171"/>
        <v>SS</v>
      </c>
      <c r="F1055" t="s">
        <v>25</v>
      </c>
      <c r="G1055" t="s">
        <v>22</v>
      </c>
      <c r="H1055">
        <v>1533</v>
      </c>
      <c r="I1055" t="str">
        <f t="shared" si="173"/>
        <v>Possabilities CIC</v>
      </c>
      <c r="J1055" t="str">
        <f t="shared" ref="J1055:J1062" si="176"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1056" spans="1:10" x14ac:dyDescent="0.35">
      <c r="A1056" t="str">
        <f t="shared" si="168"/>
        <v>SEP</v>
      </c>
      <c r="B1056" t="str">
        <f t="shared" si="169"/>
        <v>20</v>
      </c>
      <c r="C1056" t="str">
        <f t="shared" si="170"/>
        <v>2020/21</v>
      </c>
      <c r="D1056" t="str">
        <f t="shared" si="175"/>
        <v>SS SL 114907</v>
      </c>
      <c r="E1056" t="str">
        <f t="shared" si="171"/>
        <v>SS</v>
      </c>
      <c r="F1056" t="s">
        <v>25</v>
      </c>
      <c r="G1056" t="s">
        <v>22</v>
      </c>
      <c r="H1056">
        <v>5450.2</v>
      </c>
      <c r="I1056" t="str">
        <f t="shared" si="173"/>
        <v>Possabilities CIC</v>
      </c>
      <c r="J1056" t="str">
        <f t="shared" si="176"/>
        <v>Dale Avenue (Possibilities) Voluntary Associations Agency And Contracted Services Supported Living Adult Health &amp; Social Care</v>
      </c>
    </row>
    <row r="1057" spans="1:10" x14ac:dyDescent="0.35">
      <c r="A1057" t="str">
        <f t="shared" si="168"/>
        <v>SEP</v>
      </c>
      <c r="B1057" t="str">
        <f t="shared" si="169"/>
        <v>20</v>
      </c>
      <c r="C1057" t="str">
        <f t="shared" si="170"/>
        <v>2020/21</v>
      </c>
      <c r="D1057" t="str">
        <f t="shared" si="175"/>
        <v>SS SL 114907</v>
      </c>
      <c r="E1057" t="str">
        <f t="shared" si="171"/>
        <v>SS</v>
      </c>
      <c r="F1057" t="s">
        <v>25</v>
      </c>
      <c r="G1057" t="s">
        <v>22</v>
      </c>
      <c r="H1057">
        <v>-0.2</v>
      </c>
      <c r="I1057" t="str">
        <f t="shared" si="173"/>
        <v>Possabilities CIC</v>
      </c>
      <c r="J1057" t="str">
        <f t="shared" si="176"/>
        <v>Dale Avenue (Possibilities) Voluntary Associations Agency And Contracted Services Supported Living Adult Health &amp; Social Care</v>
      </c>
    </row>
    <row r="1058" spans="1:10" x14ac:dyDescent="0.35">
      <c r="A1058" t="str">
        <f t="shared" si="168"/>
        <v>SEP</v>
      </c>
      <c r="B1058" t="str">
        <f t="shared" si="169"/>
        <v>20</v>
      </c>
      <c r="C1058" t="str">
        <f t="shared" si="170"/>
        <v>2020/21</v>
      </c>
      <c r="D1058" t="str">
        <f t="shared" si="175"/>
        <v>SS SL 114907</v>
      </c>
      <c r="E1058" t="str">
        <f t="shared" si="171"/>
        <v>SS</v>
      </c>
      <c r="F1058" t="s">
        <v>25</v>
      </c>
      <c r="G1058" t="s">
        <v>22</v>
      </c>
      <c r="H1058">
        <v>5587.6</v>
      </c>
      <c r="I1058" t="str">
        <f t="shared" si="173"/>
        <v>Possabilities CIC</v>
      </c>
      <c r="J1058" t="str">
        <f t="shared" si="176"/>
        <v>Dale Avenue (Possibilities) Voluntary Associations Agency And Contracted Services Supported Living Adult Health &amp; Social Care</v>
      </c>
    </row>
    <row r="1059" spans="1:10" x14ac:dyDescent="0.35">
      <c r="A1059" t="str">
        <f t="shared" si="168"/>
        <v>SEP</v>
      </c>
      <c r="B1059" t="str">
        <f t="shared" si="169"/>
        <v>20</v>
      </c>
      <c r="C1059" t="str">
        <f t="shared" si="170"/>
        <v>2020/21</v>
      </c>
      <c r="D1059" t="str">
        <f t="shared" si="175"/>
        <v>SS SL 114907</v>
      </c>
      <c r="E1059" t="str">
        <f t="shared" si="171"/>
        <v>SS</v>
      </c>
      <c r="F1059" t="s">
        <v>25</v>
      </c>
      <c r="G1059" t="s">
        <v>22</v>
      </c>
      <c r="H1059">
        <v>2725.1</v>
      </c>
      <c r="I1059" t="str">
        <f t="shared" si="173"/>
        <v>Possabilities CIC</v>
      </c>
      <c r="J1059" t="str">
        <f t="shared" si="176"/>
        <v>Dale Avenue (Possibilities) Voluntary Associations Agency And Contracted Services Supported Living Adult Health &amp; Social Care</v>
      </c>
    </row>
    <row r="1060" spans="1:10" x14ac:dyDescent="0.35">
      <c r="A1060" t="str">
        <f t="shared" si="168"/>
        <v>SEP</v>
      </c>
      <c r="B1060" t="str">
        <f t="shared" si="169"/>
        <v>20</v>
      </c>
      <c r="C1060" t="str">
        <f t="shared" si="170"/>
        <v>2020/21</v>
      </c>
      <c r="D1060" t="str">
        <f t="shared" si="175"/>
        <v>SS SL 114907</v>
      </c>
      <c r="E1060" t="str">
        <f t="shared" si="171"/>
        <v>SS</v>
      </c>
      <c r="F1060" t="s">
        <v>25</v>
      </c>
      <c r="G1060" t="s">
        <v>22</v>
      </c>
      <c r="H1060">
        <v>-0.1</v>
      </c>
      <c r="I1060" t="str">
        <f t="shared" si="173"/>
        <v>Possabilities CIC</v>
      </c>
      <c r="J1060" t="str">
        <f t="shared" si="176"/>
        <v>Dale Avenue (Possibilities) Voluntary Associations Agency And Contracted Services Supported Living Adult Health &amp; Social Care</v>
      </c>
    </row>
    <row r="1061" spans="1:10" x14ac:dyDescent="0.35">
      <c r="A1061" t="str">
        <f t="shared" si="168"/>
        <v>SEP</v>
      </c>
      <c r="B1061" t="str">
        <f t="shared" si="169"/>
        <v>20</v>
      </c>
      <c r="C1061" t="str">
        <f t="shared" si="170"/>
        <v>2020/21</v>
      </c>
      <c r="D1061" t="str">
        <f t="shared" si="175"/>
        <v>SS SL 114907</v>
      </c>
      <c r="E1061" t="str">
        <f t="shared" si="171"/>
        <v>SS</v>
      </c>
      <c r="F1061" t="s">
        <v>25</v>
      </c>
      <c r="G1061" t="s">
        <v>22</v>
      </c>
      <c r="H1061">
        <v>766.5</v>
      </c>
      <c r="I1061" t="str">
        <f t="shared" si="173"/>
        <v>Possabilities CIC</v>
      </c>
      <c r="J1061" t="str">
        <f t="shared" si="176"/>
        <v>Dale Avenue (Possibilities) Voluntary Associations Agency And Contracted Services Supported Living Adult Health &amp; Social Care</v>
      </c>
    </row>
    <row r="1062" spans="1:10" x14ac:dyDescent="0.35">
      <c r="A1062" t="str">
        <f t="shared" si="168"/>
        <v>SEP</v>
      </c>
      <c r="B1062" t="str">
        <f t="shared" si="169"/>
        <v>20</v>
      </c>
      <c r="C1062" t="str">
        <f t="shared" si="170"/>
        <v>2020/21</v>
      </c>
      <c r="D1062" t="str">
        <f t="shared" si="175"/>
        <v>SS SL 114907</v>
      </c>
      <c r="E1062" t="str">
        <f t="shared" si="171"/>
        <v>SS</v>
      </c>
      <c r="F1062" t="s">
        <v>25</v>
      </c>
      <c r="G1062" t="s">
        <v>22</v>
      </c>
      <c r="H1062">
        <v>2793.8</v>
      </c>
      <c r="I1062" t="str">
        <f t="shared" si="173"/>
        <v>Possabilities CIC</v>
      </c>
      <c r="J1062" t="str">
        <f t="shared" si="176"/>
        <v>Dale Avenue (Possibilities) Voluntary Associations Agency And Contracted Services Supported Living Adult Health &amp; Social Care</v>
      </c>
    </row>
    <row r="1063" spans="1:10" x14ac:dyDescent="0.35">
      <c r="A1063" t="str">
        <f t="shared" si="168"/>
        <v>SEP</v>
      </c>
      <c r="B1063" t="str">
        <f t="shared" si="169"/>
        <v>20</v>
      </c>
      <c r="C1063" t="str">
        <f t="shared" si="170"/>
        <v>2020/21</v>
      </c>
      <c r="D1063" t="str">
        <f t="shared" ref="D1063:D1072" si="177">"SS SL 114908"</f>
        <v>SS SL 114908</v>
      </c>
      <c r="E1063" t="str">
        <f t="shared" si="171"/>
        <v>SS</v>
      </c>
      <c r="F1063" t="s">
        <v>25</v>
      </c>
      <c r="G1063" t="s">
        <v>22</v>
      </c>
      <c r="H1063">
        <v>2565.52</v>
      </c>
      <c r="I1063" t="str">
        <f t="shared" si="173"/>
        <v>Possabilities CIC</v>
      </c>
      <c r="J1063" t="str">
        <f t="shared" ref="J1063:J1072" si="178"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1064" spans="1:10" x14ac:dyDescent="0.35">
      <c r="A1064" t="str">
        <f t="shared" si="168"/>
        <v>SEP</v>
      </c>
      <c r="B1064" t="str">
        <f t="shared" si="169"/>
        <v>20</v>
      </c>
      <c r="C1064" t="str">
        <f t="shared" si="170"/>
        <v>2020/21</v>
      </c>
      <c r="D1064" t="str">
        <f t="shared" si="177"/>
        <v>SS SL 114908</v>
      </c>
      <c r="E1064" t="str">
        <f t="shared" si="171"/>
        <v>SS</v>
      </c>
      <c r="F1064" t="s">
        <v>25</v>
      </c>
      <c r="G1064" t="s">
        <v>22</v>
      </c>
      <c r="H1064">
        <v>4259.3999999999996</v>
      </c>
      <c r="I1064" t="str">
        <f t="shared" si="173"/>
        <v>Possabilities CIC</v>
      </c>
      <c r="J1064" t="str">
        <f t="shared" si="178"/>
        <v>Oakhill Lodge (Possibilities) Voluntary Associations Agency And Contracted Services Supported Living Adult Health &amp; Social Care</v>
      </c>
    </row>
    <row r="1065" spans="1:10" x14ac:dyDescent="0.35">
      <c r="A1065" t="str">
        <f t="shared" si="168"/>
        <v>SEP</v>
      </c>
      <c r="B1065" t="str">
        <f t="shared" si="169"/>
        <v>20</v>
      </c>
      <c r="C1065" t="str">
        <f t="shared" si="170"/>
        <v>2020/21</v>
      </c>
      <c r="D1065" t="str">
        <f t="shared" si="177"/>
        <v>SS SL 114908</v>
      </c>
      <c r="E1065" t="str">
        <f t="shared" si="171"/>
        <v>SS</v>
      </c>
      <c r="F1065" t="s">
        <v>25</v>
      </c>
      <c r="G1065" t="s">
        <v>22</v>
      </c>
      <c r="H1065">
        <v>4259.3999999999996</v>
      </c>
      <c r="I1065" t="str">
        <f t="shared" si="173"/>
        <v>Possabilities CIC</v>
      </c>
      <c r="J1065" t="str">
        <f t="shared" si="178"/>
        <v>Oakhill Lodge (Possibilities) Voluntary Associations Agency And Contracted Services Supported Living Adult Health &amp; Social Care</v>
      </c>
    </row>
    <row r="1066" spans="1:10" x14ac:dyDescent="0.35">
      <c r="A1066" t="str">
        <f t="shared" si="168"/>
        <v>SEP</v>
      </c>
      <c r="B1066" t="str">
        <f t="shared" si="169"/>
        <v>20</v>
      </c>
      <c r="C1066" t="str">
        <f t="shared" si="170"/>
        <v>2020/21</v>
      </c>
      <c r="D1066" t="str">
        <f t="shared" si="177"/>
        <v>SS SL 114908</v>
      </c>
      <c r="E1066" t="str">
        <f t="shared" si="171"/>
        <v>SS</v>
      </c>
      <c r="F1066" t="s">
        <v>25</v>
      </c>
      <c r="G1066" t="s">
        <v>22</v>
      </c>
      <c r="H1066">
        <v>4259.3999999999996</v>
      </c>
      <c r="I1066" t="str">
        <f t="shared" si="173"/>
        <v>Possabilities CIC</v>
      </c>
      <c r="J1066" t="str">
        <f t="shared" si="178"/>
        <v>Oakhill Lodge (Possibilities) Voluntary Associations Agency And Contracted Services Supported Living Adult Health &amp; Social Care</v>
      </c>
    </row>
    <row r="1067" spans="1:10" x14ac:dyDescent="0.35">
      <c r="A1067" t="str">
        <f t="shared" si="168"/>
        <v>SEP</v>
      </c>
      <c r="B1067" t="str">
        <f t="shared" si="169"/>
        <v>20</v>
      </c>
      <c r="C1067" t="str">
        <f t="shared" si="170"/>
        <v>2020/21</v>
      </c>
      <c r="D1067" t="str">
        <f t="shared" si="177"/>
        <v>SS SL 114908</v>
      </c>
      <c r="E1067" t="str">
        <f t="shared" si="171"/>
        <v>SS</v>
      </c>
      <c r="F1067" t="s">
        <v>25</v>
      </c>
      <c r="G1067" t="s">
        <v>22</v>
      </c>
      <c r="H1067">
        <v>1533</v>
      </c>
      <c r="I1067" t="str">
        <f t="shared" si="173"/>
        <v>Possabilities CIC</v>
      </c>
      <c r="J1067" t="str">
        <f t="shared" si="178"/>
        <v>Oakhill Lodge (Possibilities) Voluntary Associations Agency And Contracted Services Supported Living Adult Health &amp; Social Care</v>
      </c>
    </row>
    <row r="1068" spans="1:10" x14ac:dyDescent="0.35">
      <c r="A1068" t="str">
        <f t="shared" si="168"/>
        <v>SEP</v>
      </c>
      <c r="B1068" t="str">
        <f t="shared" si="169"/>
        <v>20</v>
      </c>
      <c r="C1068" t="str">
        <f t="shared" si="170"/>
        <v>2020/21</v>
      </c>
      <c r="D1068" t="str">
        <f t="shared" si="177"/>
        <v>SS SL 114908</v>
      </c>
      <c r="E1068" t="str">
        <f t="shared" si="171"/>
        <v>SS</v>
      </c>
      <c r="F1068" t="s">
        <v>25</v>
      </c>
      <c r="G1068" t="s">
        <v>22</v>
      </c>
      <c r="H1068">
        <v>2129.6999999999998</v>
      </c>
      <c r="I1068" t="str">
        <f t="shared" si="173"/>
        <v>Possabilities CIC</v>
      </c>
      <c r="J1068" t="str">
        <f t="shared" si="178"/>
        <v>Oakhill Lodge (Possibilities) Voluntary Associations Agency And Contracted Services Supported Living Adult Health &amp; Social Care</v>
      </c>
    </row>
    <row r="1069" spans="1:10" x14ac:dyDescent="0.35">
      <c r="A1069" t="str">
        <f t="shared" si="168"/>
        <v>SEP</v>
      </c>
      <c r="B1069" t="str">
        <f t="shared" si="169"/>
        <v>20</v>
      </c>
      <c r="C1069" t="str">
        <f t="shared" si="170"/>
        <v>2020/21</v>
      </c>
      <c r="D1069" t="str">
        <f t="shared" si="177"/>
        <v>SS SL 114908</v>
      </c>
      <c r="E1069" t="str">
        <f t="shared" si="171"/>
        <v>SS</v>
      </c>
      <c r="F1069" t="s">
        <v>25</v>
      </c>
      <c r="G1069" t="s">
        <v>22</v>
      </c>
      <c r="H1069">
        <v>766.5</v>
      </c>
      <c r="I1069" t="str">
        <f t="shared" si="173"/>
        <v>Possabilities CIC</v>
      </c>
      <c r="J1069" t="str">
        <f t="shared" si="178"/>
        <v>Oakhill Lodge (Possibilities) Voluntary Associations Agency And Contracted Services Supported Living Adult Health &amp; Social Care</v>
      </c>
    </row>
    <row r="1070" spans="1:10" x14ac:dyDescent="0.35">
      <c r="A1070" t="str">
        <f t="shared" si="168"/>
        <v>SEP</v>
      </c>
      <c r="B1070" t="str">
        <f t="shared" si="169"/>
        <v>20</v>
      </c>
      <c r="C1070" t="str">
        <f t="shared" si="170"/>
        <v>2020/21</v>
      </c>
      <c r="D1070" t="str">
        <f t="shared" si="177"/>
        <v>SS SL 114908</v>
      </c>
      <c r="E1070" t="str">
        <f t="shared" si="171"/>
        <v>SS</v>
      </c>
      <c r="F1070" t="s">
        <v>25</v>
      </c>
      <c r="G1070" t="s">
        <v>22</v>
      </c>
      <c r="H1070">
        <v>2129.6999999999998</v>
      </c>
      <c r="I1070" t="str">
        <f t="shared" si="173"/>
        <v>Possabilities CIC</v>
      </c>
      <c r="J1070" t="str">
        <f t="shared" si="178"/>
        <v>Oakhill Lodge (Possibilities) Voluntary Associations Agency And Contracted Services Supported Living Adult Health &amp; Social Care</v>
      </c>
    </row>
    <row r="1071" spans="1:10" x14ac:dyDescent="0.35">
      <c r="A1071" t="str">
        <f t="shared" si="168"/>
        <v>SEP</v>
      </c>
      <c r="B1071" t="str">
        <f t="shared" si="169"/>
        <v>20</v>
      </c>
      <c r="C1071" t="str">
        <f t="shared" si="170"/>
        <v>2020/21</v>
      </c>
      <c r="D1071" t="str">
        <f t="shared" si="177"/>
        <v>SS SL 114908</v>
      </c>
      <c r="E1071" t="str">
        <f t="shared" si="171"/>
        <v>SS</v>
      </c>
      <c r="F1071" t="s">
        <v>25</v>
      </c>
      <c r="G1071" t="s">
        <v>22</v>
      </c>
      <c r="H1071">
        <v>1282.76</v>
      </c>
      <c r="I1071" t="str">
        <f t="shared" si="173"/>
        <v>Possabilities CIC</v>
      </c>
      <c r="J1071" t="str">
        <f t="shared" si="178"/>
        <v>Oakhill Lodge (Possibilities) Voluntary Associations Agency And Contracted Services Supported Living Adult Health &amp; Social Care</v>
      </c>
    </row>
    <row r="1072" spans="1:10" x14ac:dyDescent="0.35">
      <c r="A1072" t="str">
        <f t="shared" si="168"/>
        <v>SEP</v>
      </c>
      <c r="B1072" t="str">
        <f t="shared" si="169"/>
        <v>20</v>
      </c>
      <c r="C1072" t="str">
        <f t="shared" si="170"/>
        <v>2020/21</v>
      </c>
      <c r="D1072" t="str">
        <f t="shared" si="177"/>
        <v>SS SL 114908</v>
      </c>
      <c r="E1072" t="str">
        <f t="shared" si="171"/>
        <v>SS</v>
      </c>
      <c r="F1072" t="s">
        <v>25</v>
      </c>
      <c r="G1072" t="s">
        <v>22</v>
      </c>
      <c r="H1072">
        <v>2129.6999999999998</v>
      </c>
      <c r="I1072" t="str">
        <f t="shared" si="173"/>
        <v>Possabilities CIC</v>
      </c>
      <c r="J1072" t="str">
        <f t="shared" si="178"/>
        <v>Oakhill Lodge (Possibilities) Voluntary Associations Agency And Contracted Services Supported Living Adult Health &amp; Social Care</v>
      </c>
    </row>
    <row r="1073" spans="1:10" x14ac:dyDescent="0.35">
      <c r="A1073" t="str">
        <f t="shared" si="168"/>
        <v>SEP</v>
      </c>
      <c r="B1073" t="str">
        <f t="shared" si="169"/>
        <v>20</v>
      </c>
      <c r="C1073" t="str">
        <f t="shared" si="170"/>
        <v>2020/21</v>
      </c>
      <c r="D1073" t="str">
        <f>"SS SL 114110"</f>
        <v>SS SL 114110</v>
      </c>
      <c r="E1073" t="str">
        <f t="shared" si="171"/>
        <v>SS</v>
      </c>
      <c r="F1073" t="s">
        <v>25</v>
      </c>
      <c r="G1073" t="s">
        <v>22</v>
      </c>
      <c r="H1073">
        <v>2213.48</v>
      </c>
      <c r="I1073" t="str">
        <f>"Turning Point Scotland Services"</f>
        <v>Turning Point Scotland Services</v>
      </c>
      <c r="J1073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1074" spans="1:10" x14ac:dyDescent="0.35">
      <c r="A1074" t="str">
        <f t="shared" si="168"/>
        <v>SEP</v>
      </c>
      <c r="B1074" t="str">
        <f t="shared" si="169"/>
        <v>20</v>
      </c>
      <c r="C1074" t="str">
        <f t="shared" si="170"/>
        <v>2020/21</v>
      </c>
      <c r="D1074" t="str">
        <f t="shared" ref="D1074:D1079" si="179">"SS SL 114881"</f>
        <v>SS SL 114881</v>
      </c>
      <c r="E1074" t="str">
        <f t="shared" si="171"/>
        <v>SS</v>
      </c>
      <c r="F1074" t="s">
        <v>25</v>
      </c>
      <c r="G1074" t="s">
        <v>22</v>
      </c>
      <c r="H1074">
        <v>3452.8</v>
      </c>
      <c r="I1074" t="str">
        <f t="shared" ref="I1074:I1084" si="180">"Creative Support Ltd"</f>
        <v>Creative Support Ltd</v>
      </c>
      <c r="J1074" t="str">
        <f t="shared" ref="J1074:J1079" si="181"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1075" spans="1:10" x14ac:dyDescent="0.35">
      <c r="A1075" t="str">
        <f t="shared" si="168"/>
        <v>SEP</v>
      </c>
      <c r="B1075" t="str">
        <f t="shared" si="169"/>
        <v>20</v>
      </c>
      <c r="C1075" t="str">
        <f t="shared" si="170"/>
        <v>2020/21</v>
      </c>
      <c r="D1075" t="str">
        <f t="shared" si="179"/>
        <v>SS SL 114881</v>
      </c>
      <c r="E1075" t="str">
        <f t="shared" si="171"/>
        <v>SS</v>
      </c>
      <c r="F1075" t="s">
        <v>25</v>
      </c>
      <c r="G1075" t="s">
        <v>22</v>
      </c>
      <c r="H1075">
        <v>4946.8</v>
      </c>
      <c r="I1075" t="str">
        <f t="shared" si="180"/>
        <v>Creative Support Ltd</v>
      </c>
      <c r="J1075" t="str">
        <f t="shared" si="181"/>
        <v>92 Highfield Road (Creative Support) Private Contractors Agency And Contracted Services Supported Living Adult Health &amp; Social Care</v>
      </c>
    </row>
    <row r="1076" spans="1:10" x14ac:dyDescent="0.35">
      <c r="A1076" t="str">
        <f t="shared" si="168"/>
        <v>SEP</v>
      </c>
      <c r="B1076" t="str">
        <f t="shared" si="169"/>
        <v>20</v>
      </c>
      <c r="C1076" t="str">
        <f t="shared" si="170"/>
        <v>2020/21</v>
      </c>
      <c r="D1076" t="str">
        <f t="shared" si="179"/>
        <v>SS SL 114881</v>
      </c>
      <c r="E1076" t="str">
        <f t="shared" si="171"/>
        <v>SS</v>
      </c>
      <c r="F1076" t="s">
        <v>25</v>
      </c>
      <c r="G1076" t="s">
        <v>22</v>
      </c>
      <c r="H1076">
        <v>3021.2</v>
      </c>
      <c r="I1076" t="str">
        <f t="shared" si="180"/>
        <v>Creative Support Ltd</v>
      </c>
      <c r="J1076" t="str">
        <f t="shared" si="181"/>
        <v>92 Highfield Road (Creative Support) Private Contractors Agency And Contracted Services Supported Living Adult Health &amp; Social Care</v>
      </c>
    </row>
    <row r="1077" spans="1:10" x14ac:dyDescent="0.35">
      <c r="A1077" t="str">
        <f t="shared" si="168"/>
        <v>SEP</v>
      </c>
      <c r="B1077" t="str">
        <f t="shared" si="169"/>
        <v>20</v>
      </c>
      <c r="C1077" t="str">
        <f t="shared" si="170"/>
        <v>2020/21</v>
      </c>
      <c r="D1077" t="str">
        <f t="shared" si="179"/>
        <v>SS SL 114881</v>
      </c>
      <c r="E1077" t="str">
        <f t="shared" si="171"/>
        <v>SS</v>
      </c>
      <c r="F1077" t="s">
        <v>25</v>
      </c>
      <c r="G1077" t="s">
        <v>22</v>
      </c>
      <c r="H1077">
        <v>6772.8</v>
      </c>
      <c r="I1077" t="str">
        <f t="shared" si="180"/>
        <v>Creative Support Ltd</v>
      </c>
      <c r="J1077" t="str">
        <f t="shared" si="181"/>
        <v>92 Highfield Road (Creative Support) Private Contractors Agency And Contracted Services Supported Living Adult Health &amp; Social Care</v>
      </c>
    </row>
    <row r="1078" spans="1:10" x14ac:dyDescent="0.35">
      <c r="A1078" t="str">
        <f t="shared" si="168"/>
        <v>SEP</v>
      </c>
      <c r="B1078" t="str">
        <f t="shared" si="169"/>
        <v>20</v>
      </c>
      <c r="C1078" t="str">
        <f t="shared" si="170"/>
        <v>2020/21</v>
      </c>
      <c r="D1078" t="str">
        <f t="shared" si="179"/>
        <v>SS SL 114881</v>
      </c>
      <c r="E1078" t="str">
        <f t="shared" si="171"/>
        <v>SS</v>
      </c>
      <c r="F1078" t="s">
        <v>25</v>
      </c>
      <c r="G1078" t="s">
        <v>22</v>
      </c>
      <c r="H1078">
        <v>6208.4</v>
      </c>
      <c r="I1078" t="str">
        <f t="shared" si="180"/>
        <v>Creative Support Ltd</v>
      </c>
      <c r="J1078" t="str">
        <f t="shared" si="181"/>
        <v>92 Highfield Road (Creative Support) Private Contractors Agency And Contracted Services Supported Living Adult Health &amp; Social Care</v>
      </c>
    </row>
    <row r="1079" spans="1:10" x14ac:dyDescent="0.35">
      <c r="A1079" t="str">
        <f t="shared" si="168"/>
        <v>SEP</v>
      </c>
      <c r="B1079" t="str">
        <f t="shared" si="169"/>
        <v>20</v>
      </c>
      <c r="C1079" t="str">
        <f t="shared" si="170"/>
        <v>2020/21</v>
      </c>
      <c r="D1079" t="str">
        <f t="shared" si="179"/>
        <v>SS SL 114881</v>
      </c>
      <c r="E1079" t="str">
        <f t="shared" si="171"/>
        <v>SS</v>
      </c>
      <c r="F1079" t="s">
        <v>25</v>
      </c>
      <c r="G1079" t="s">
        <v>22</v>
      </c>
      <c r="H1079">
        <v>3718.4</v>
      </c>
      <c r="I1079" t="str">
        <f t="shared" si="180"/>
        <v>Creative Support Ltd</v>
      </c>
      <c r="J1079" t="str">
        <f t="shared" si="181"/>
        <v>92 Highfield Road (Creative Support) Private Contractors Agency And Contracted Services Supported Living Adult Health &amp; Social Care</v>
      </c>
    </row>
    <row r="1080" spans="1:10" x14ac:dyDescent="0.35">
      <c r="A1080" t="str">
        <f t="shared" si="168"/>
        <v>SEP</v>
      </c>
      <c r="B1080" t="str">
        <f t="shared" si="169"/>
        <v>20</v>
      </c>
      <c r="C1080" t="str">
        <f t="shared" si="170"/>
        <v>2020/21</v>
      </c>
      <c r="D1080" t="str">
        <f>"SS SL 114893"</f>
        <v>SS SL 114893</v>
      </c>
      <c r="E1080" t="str">
        <f t="shared" si="171"/>
        <v>SS</v>
      </c>
      <c r="F1080" t="s">
        <v>25</v>
      </c>
      <c r="G1080" t="s">
        <v>22</v>
      </c>
      <c r="H1080">
        <v>2921.6</v>
      </c>
      <c r="I1080" t="str">
        <f t="shared" si="180"/>
        <v>Creative Support Ltd</v>
      </c>
      <c r="J1080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081" spans="1:10" x14ac:dyDescent="0.35">
      <c r="A1081" t="str">
        <f t="shared" si="168"/>
        <v>SEP</v>
      </c>
      <c r="B1081" t="str">
        <f t="shared" si="169"/>
        <v>20</v>
      </c>
      <c r="C1081" t="str">
        <f t="shared" si="170"/>
        <v>2020/21</v>
      </c>
      <c r="D1081" t="str">
        <f>"SS SL 114893"</f>
        <v>SS SL 114893</v>
      </c>
      <c r="E1081" t="str">
        <f t="shared" si="171"/>
        <v>SS</v>
      </c>
      <c r="F1081" t="s">
        <v>25</v>
      </c>
      <c r="G1081" t="s">
        <v>22</v>
      </c>
      <c r="H1081">
        <v>3452.8</v>
      </c>
      <c r="I1081" t="str">
        <f t="shared" si="180"/>
        <v>Creative Support Ltd</v>
      </c>
      <c r="J1081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082" spans="1:10" x14ac:dyDescent="0.35">
      <c r="A1082" t="str">
        <f t="shared" si="168"/>
        <v>SEP</v>
      </c>
      <c r="B1082" t="str">
        <f t="shared" si="169"/>
        <v>20</v>
      </c>
      <c r="C1082" t="str">
        <f t="shared" si="170"/>
        <v>2020/21</v>
      </c>
      <c r="D1082" t="str">
        <f>"SS SL 114893"</f>
        <v>SS SL 114893</v>
      </c>
      <c r="E1082" t="str">
        <f t="shared" si="171"/>
        <v>SS</v>
      </c>
      <c r="F1082" t="s">
        <v>25</v>
      </c>
      <c r="G1082" t="s">
        <v>22</v>
      </c>
      <c r="H1082">
        <v>2191.1999999999998</v>
      </c>
      <c r="I1082" t="str">
        <f t="shared" si="180"/>
        <v>Creative Support Ltd</v>
      </c>
      <c r="J1082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083" spans="1:10" x14ac:dyDescent="0.35">
      <c r="A1083" t="str">
        <f t="shared" si="168"/>
        <v>SEP</v>
      </c>
      <c r="B1083" t="str">
        <f t="shared" si="169"/>
        <v>20</v>
      </c>
      <c r="C1083" t="str">
        <f t="shared" si="170"/>
        <v>2020/21</v>
      </c>
      <c r="D1083" t="str">
        <f>"SS SL 114893"</f>
        <v>SS SL 114893</v>
      </c>
      <c r="E1083" t="str">
        <f t="shared" si="171"/>
        <v>SS</v>
      </c>
      <c r="F1083" t="s">
        <v>25</v>
      </c>
      <c r="G1083" t="s">
        <v>22</v>
      </c>
      <c r="H1083">
        <v>2284.8000000000002</v>
      </c>
      <c r="I1083" t="str">
        <f t="shared" si="180"/>
        <v>Creative Support Ltd</v>
      </c>
      <c r="J1083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084" spans="1:10" x14ac:dyDescent="0.35">
      <c r="A1084" t="str">
        <f t="shared" si="168"/>
        <v>SEP</v>
      </c>
      <c r="B1084" t="str">
        <f t="shared" si="169"/>
        <v>20</v>
      </c>
      <c r="C1084" t="str">
        <f t="shared" si="170"/>
        <v>2020/21</v>
      </c>
      <c r="D1084" t="str">
        <f>"SS SL 114893"</f>
        <v>SS SL 114893</v>
      </c>
      <c r="E1084" t="str">
        <f t="shared" si="171"/>
        <v>SS</v>
      </c>
      <c r="F1084" t="s">
        <v>25</v>
      </c>
      <c r="G1084" t="s">
        <v>22</v>
      </c>
      <c r="H1084">
        <v>3984</v>
      </c>
      <c r="I1084" t="str">
        <f t="shared" si="180"/>
        <v>Creative Support Ltd</v>
      </c>
      <c r="J1084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085" spans="1:10" x14ac:dyDescent="0.35">
      <c r="A1085" t="str">
        <f t="shared" ref="A1085:A1148" si="182">"SEP"</f>
        <v>SEP</v>
      </c>
      <c r="B1085" t="str">
        <f t="shared" si="169"/>
        <v>20</v>
      </c>
      <c r="C1085" t="str">
        <f t="shared" si="170"/>
        <v>2020/21</v>
      </c>
      <c r="D1085" t="str">
        <f t="shared" ref="D1085:D1091" si="183">"SS SL 114906"</f>
        <v>SS SL 114906</v>
      </c>
      <c r="E1085" t="str">
        <f t="shared" si="171"/>
        <v>SS</v>
      </c>
      <c r="F1085" t="s">
        <v>25</v>
      </c>
      <c r="G1085" t="s">
        <v>22</v>
      </c>
      <c r="H1085">
        <v>498</v>
      </c>
      <c r="I1085" t="str">
        <f t="shared" ref="I1085:I1114" si="184">"Future Directions CIC"</f>
        <v>Future Directions CIC</v>
      </c>
      <c r="J1085" t="str">
        <f t="shared" ref="J1085:J1114" si="185"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1086" spans="1:10" x14ac:dyDescent="0.35">
      <c r="A1086" t="str">
        <f t="shared" si="182"/>
        <v>SEP</v>
      </c>
      <c r="B1086" t="str">
        <f t="shared" si="169"/>
        <v>20</v>
      </c>
      <c r="C1086" t="str">
        <f t="shared" si="170"/>
        <v>2020/21</v>
      </c>
      <c r="D1086" t="str">
        <f t="shared" si="183"/>
        <v>SS SL 114906</v>
      </c>
      <c r="E1086" t="str">
        <f t="shared" si="171"/>
        <v>SS</v>
      </c>
      <c r="F1086" t="s">
        <v>25</v>
      </c>
      <c r="G1086" t="s">
        <v>22</v>
      </c>
      <c r="H1086">
        <v>1084.32</v>
      </c>
      <c r="I1086" t="str">
        <f t="shared" si="184"/>
        <v>Future Directions CIC</v>
      </c>
      <c r="J1086" t="str">
        <f t="shared" si="185"/>
        <v>Endeavour House (Future Directions) Private Contractors Agency And Contracted Services Supported Living Adult Health &amp; Social Care</v>
      </c>
    </row>
    <row r="1087" spans="1:10" x14ac:dyDescent="0.35">
      <c r="A1087" t="str">
        <f t="shared" si="182"/>
        <v>SEP</v>
      </c>
      <c r="B1087" t="str">
        <f t="shared" si="169"/>
        <v>20</v>
      </c>
      <c r="C1087" t="str">
        <f t="shared" si="170"/>
        <v>2020/21</v>
      </c>
      <c r="D1087" t="str">
        <f t="shared" si="183"/>
        <v>SS SL 114906</v>
      </c>
      <c r="E1087" t="str">
        <f t="shared" si="171"/>
        <v>SS</v>
      </c>
      <c r="F1087" t="s">
        <v>25</v>
      </c>
      <c r="G1087" t="s">
        <v>22</v>
      </c>
      <c r="H1087">
        <v>-0.01</v>
      </c>
      <c r="I1087" t="str">
        <f t="shared" si="184"/>
        <v>Future Directions CIC</v>
      </c>
      <c r="J1087" t="str">
        <f t="shared" si="185"/>
        <v>Endeavour House (Future Directions) Private Contractors Agency And Contracted Services Supported Living Adult Health &amp; Social Care</v>
      </c>
    </row>
    <row r="1088" spans="1:10" x14ac:dyDescent="0.35">
      <c r="A1088" t="str">
        <f t="shared" si="182"/>
        <v>SEP</v>
      </c>
      <c r="B1088" t="str">
        <f t="shared" si="169"/>
        <v>20</v>
      </c>
      <c r="C1088" t="str">
        <f t="shared" si="170"/>
        <v>2020/21</v>
      </c>
      <c r="D1088" t="str">
        <f t="shared" si="183"/>
        <v>SS SL 114906</v>
      </c>
      <c r="E1088" t="str">
        <f t="shared" si="171"/>
        <v>SS</v>
      </c>
      <c r="F1088" t="s">
        <v>25</v>
      </c>
      <c r="G1088" t="s">
        <v>22</v>
      </c>
      <c r="H1088">
        <v>265.60000000000002</v>
      </c>
      <c r="I1088" t="str">
        <f t="shared" si="184"/>
        <v>Future Directions CIC</v>
      </c>
      <c r="J1088" t="str">
        <f t="shared" si="185"/>
        <v>Endeavour House (Future Directions) Private Contractors Agency And Contracted Services Supported Living Adult Health &amp; Social Care</v>
      </c>
    </row>
    <row r="1089" spans="1:10" x14ac:dyDescent="0.35">
      <c r="A1089" t="str">
        <f t="shared" si="182"/>
        <v>SEP</v>
      </c>
      <c r="B1089" t="str">
        <f t="shared" si="169"/>
        <v>20</v>
      </c>
      <c r="C1089" t="str">
        <f t="shared" si="170"/>
        <v>2020/21</v>
      </c>
      <c r="D1089" t="str">
        <f t="shared" si="183"/>
        <v>SS SL 114906</v>
      </c>
      <c r="E1089" t="str">
        <f t="shared" si="171"/>
        <v>SS</v>
      </c>
      <c r="F1089" t="s">
        <v>25</v>
      </c>
      <c r="G1089" t="s">
        <v>22</v>
      </c>
      <c r="H1089">
        <v>996</v>
      </c>
      <c r="I1089" t="str">
        <f t="shared" si="184"/>
        <v>Future Directions CIC</v>
      </c>
      <c r="J1089" t="str">
        <f t="shared" si="185"/>
        <v>Endeavour House (Future Directions) Private Contractors Agency And Contracted Services Supported Living Adult Health &amp; Social Care</v>
      </c>
    </row>
    <row r="1090" spans="1:10" x14ac:dyDescent="0.35">
      <c r="A1090" t="str">
        <f t="shared" si="182"/>
        <v>SEP</v>
      </c>
      <c r="B1090" t="str">
        <f t="shared" ref="B1090:B1153" si="186">"20"</f>
        <v>20</v>
      </c>
      <c r="C1090" t="str">
        <f t="shared" ref="C1090:C1153" si="187">"2020/21"</f>
        <v>2020/21</v>
      </c>
      <c r="D1090" t="str">
        <f t="shared" si="183"/>
        <v>SS SL 114906</v>
      </c>
      <c r="E1090" t="str">
        <f t="shared" ref="E1090:E1153" si="188">LEFT(D1090,2)</f>
        <v>SS</v>
      </c>
      <c r="F1090" t="s">
        <v>25</v>
      </c>
      <c r="G1090" t="s">
        <v>22</v>
      </c>
      <c r="H1090">
        <v>713.8</v>
      </c>
      <c r="I1090" t="str">
        <f t="shared" si="184"/>
        <v>Future Directions CIC</v>
      </c>
      <c r="J1090" t="str">
        <f t="shared" si="185"/>
        <v>Endeavour House (Future Directions) Private Contractors Agency And Contracted Services Supported Living Adult Health &amp; Social Care</v>
      </c>
    </row>
    <row r="1091" spans="1:10" x14ac:dyDescent="0.35">
      <c r="A1091" t="str">
        <f t="shared" si="182"/>
        <v>SEP</v>
      </c>
      <c r="B1091" t="str">
        <f t="shared" si="186"/>
        <v>20</v>
      </c>
      <c r="C1091" t="str">
        <f t="shared" si="187"/>
        <v>2020/21</v>
      </c>
      <c r="D1091" t="str">
        <f t="shared" si="183"/>
        <v>SS SL 114906</v>
      </c>
      <c r="E1091" t="str">
        <f t="shared" si="188"/>
        <v>SS</v>
      </c>
      <c r="F1091" t="s">
        <v>25</v>
      </c>
      <c r="G1091" t="s">
        <v>22</v>
      </c>
      <c r="H1091">
        <v>664</v>
      </c>
      <c r="I1091" t="str">
        <f t="shared" si="184"/>
        <v>Future Directions CIC</v>
      </c>
      <c r="J1091" t="str">
        <f t="shared" si="185"/>
        <v>Endeavour House (Future Directions) Private Contractors Agency And Contracted Services Supported Living Adult Health &amp; Social Care</v>
      </c>
    </row>
    <row r="1092" spans="1:10" x14ac:dyDescent="0.35">
      <c r="A1092" t="str">
        <f t="shared" si="182"/>
        <v>SEP</v>
      </c>
      <c r="B1092" t="str">
        <f t="shared" si="186"/>
        <v>20</v>
      </c>
      <c r="C1092" t="str">
        <f t="shared" si="187"/>
        <v>2020/21</v>
      </c>
      <c r="D1092" t="str">
        <f t="shared" ref="D1092:D1099" si="189">"SS SL 114903"</f>
        <v>SS SL 114903</v>
      </c>
      <c r="E1092" t="str">
        <f t="shared" si="188"/>
        <v>SS</v>
      </c>
      <c r="F1092" t="s">
        <v>25</v>
      </c>
      <c r="G1092" t="s">
        <v>22</v>
      </c>
      <c r="H1092">
        <v>3137.4</v>
      </c>
      <c r="I1092" t="str">
        <f t="shared" si="184"/>
        <v>Future Directions CIC</v>
      </c>
      <c r="J1092" t="str">
        <f t="shared" si="185"/>
        <v>Endeavour House (Future Directions) Private Contractors Agency And Contracted Services Supported Living Adult Health &amp; Social Care</v>
      </c>
    </row>
    <row r="1093" spans="1:10" x14ac:dyDescent="0.35">
      <c r="A1093" t="str">
        <f t="shared" si="182"/>
        <v>SEP</v>
      </c>
      <c r="B1093" t="str">
        <f t="shared" si="186"/>
        <v>20</v>
      </c>
      <c r="C1093" t="str">
        <f t="shared" si="187"/>
        <v>2020/21</v>
      </c>
      <c r="D1093" t="str">
        <f t="shared" si="189"/>
        <v>SS SL 114903</v>
      </c>
      <c r="E1093" t="str">
        <f t="shared" si="188"/>
        <v>SS</v>
      </c>
      <c r="F1093" t="s">
        <v>25</v>
      </c>
      <c r="G1093" t="s">
        <v>22</v>
      </c>
      <c r="H1093">
        <v>571.20000000000005</v>
      </c>
      <c r="I1093" t="str">
        <f t="shared" si="184"/>
        <v>Future Directions CIC</v>
      </c>
      <c r="J1093" t="str">
        <f t="shared" si="185"/>
        <v>Endeavour House (Future Directions) Private Contractors Agency And Contracted Services Supported Living Adult Health &amp; Social Care</v>
      </c>
    </row>
    <row r="1094" spans="1:10" x14ac:dyDescent="0.35">
      <c r="A1094" t="str">
        <f t="shared" si="182"/>
        <v>SEP</v>
      </c>
      <c r="B1094" t="str">
        <f t="shared" si="186"/>
        <v>20</v>
      </c>
      <c r="C1094" t="str">
        <f t="shared" si="187"/>
        <v>2020/21</v>
      </c>
      <c r="D1094" t="str">
        <f t="shared" si="189"/>
        <v>SS SL 114903</v>
      </c>
      <c r="E1094" t="str">
        <f t="shared" si="188"/>
        <v>SS</v>
      </c>
      <c r="F1094" t="s">
        <v>25</v>
      </c>
      <c r="G1094" t="s">
        <v>22</v>
      </c>
      <c r="H1094">
        <v>571.20000000000005</v>
      </c>
      <c r="I1094" t="str">
        <f t="shared" si="184"/>
        <v>Future Directions CIC</v>
      </c>
      <c r="J1094" t="str">
        <f t="shared" si="185"/>
        <v>Endeavour House (Future Directions) Private Contractors Agency And Contracted Services Supported Living Adult Health &amp; Social Care</v>
      </c>
    </row>
    <row r="1095" spans="1:10" x14ac:dyDescent="0.35">
      <c r="A1095" t="str">
        <f t="shared" si="182"/>
        <v>SEP</v>
      </c>
      <c r="B1095" t="str">
        <f t="shared" si="186"/>
        <v>20</v>
      </c>
      <c r="C1095" t="str">
        <f t="shared" si="187"/>
        <v>2020/21</v>
      </c>
      <c r="D1095" t="str">
        <f t="shared" si="189"/>
        <v>SS SL 114903</v>
      </c>
      <c r="E1095" t="str">
        <f t="shared" si="188"/>
        <v>SS</v>
      </c>
      <c r="F1095" t="s">
        <v>25</v>
      </c>
      <c r="G1095" t="s">
        <v>22</v>
      </c>
      <c r="H1095">
        <v>2805.4</v>
      </c>
      <c r="I1095" t="str">
        <f t="shared" si="184"/>
        <v>Future Directions CIC</v>
      </c>
      <c r="J1095" t="str">
        <f t="shared" si="185"/>
        <v>Endeavour House (Future Directions) Private Contractors Agency And Contracted Services Supported Living Adult Health &amp; Social Care</v>
      </c>
    </row>
    <row r="1096" spans="1:10" x14ac:dyDescent="0.35">
      <c r="A1096" t="str">
        <f t="shared" si="182"/>
        <v>SEP</v>
      </c>
      <c r="B1096" t="str">
        <f t="shared" si="186"/>
        <v>20</v>
      </c>
      <c r="C1096" t="str">
        <f t="shared" si="187"/>
        <v>2020/21</v>
      </c>
      <c r="D1096" t="str">
        <f t="shared" si="189"/>
        <v>SS SL 114903</v>
      </c>
      <c r="E1096" t="str">
        <f t="shared" si="188"/>
        <v>SS</v>
      </c>
      <c r="F1096" t="s">
        <v>25</v>
      </c>
      <c r="G1096" t="s">
        <v>22</v>
      </c>
      <c r="H1096">
        <v>571.20000000000005</v>
      </c>
      <c r="I1096" t="str">
        <f t="shared" si="184"/>
        <v>Future Directions CIC</v>
      </c>
      <c r="J1096" t="str">
        <f t="shared" si="185"/>
        <v>Endeavour House (Future Directions) Private Contractors Agency And Contracted Services Supported Living Adult Health &amp; Social Care</v>
      </c>
    </row>
    <row r="1097" spans="1:10" x14ac:dyDescent="0.35">
      <c r="A1097" t="str">
        <f t="shared" si="182"/>
        <v>SEP</v>
      </c>
      <c r="B1097" t="str">
        <f t="shared" si="186"/>
        <v>20</v>
      </c>
      <c r="C1097" t="str">
        <f t="shared" si="187"/>
        <v>2020/21</v>
      </c>
      <c r="D1097" t="str">
        <f t="shared" si="189"/>
        <v>SS SL 114903</v>
      </c>
      <c r="E1097" t="str">
        <f t="shared" si="188"/>
        <v>SS</v>
      </c>
      <c r="F1097" t="s">
        <v>25</v>
      </c>
      <c r="G1097" t="s">
        <v>22</v>
      </c>
      <c r="H1097">
        <v>2788.8</v>
      </c>
      <c r="I1097" t="str">
        <f t="shared" si="184"/>
        <v>Future Directions CIC</v>
      </c>
      <c r="J1097" t="str">
        <f t="shared" si="185"/>
        <v>Endeavour House (Future Directions) Private Contractors Agency And Contracted Services Supported Living Adult Health &amp; Social Care</v>
      </c>
    </row>
    <row r="1098" spans="1:10" x14ac:dyDescent="0.35">
      <c r="A1098" t="str">
        <f t="shared" si="182"/>
        <v>SEP</v>
      </c>
      <c r="B1098" t="str">
        <f t="shared" si="186"/>
        <v>20</v>
      </c>
      <c r="C1098" t="str">
        <f t="shared" si="187"/>
        <v>2020/21</v>
      </c>
      <c r="D1098" t="str">
        <f t="shared" si="189"/>
        <v>SS SL 114903</v>
      </c>
      <c r="E1098" t="str">
        <f t="shared" si="188"/>
        <v>SS</v>
      </c>
      <c r="F1098" t="s">
        <v>25</v>
      </c>
      <c r="G1098" t="s">
        <v>22</v>
      </c>
      <c r="H1098">
        <v>571.20000000000005</v>
      </c>
      <c r="I1098" t="str">
        <f t="shared" si="184"/>
        <v>Future Directions CIC</v>
      </c>
      <c r="J1098" t="str">
        <f t="shared" si="185"/>
        <v>Endeavour House (Future Directions) Private Contractors Agency And Contracted Services Supported Living Adult Health &amp; Social Care</v>
      </c>
    </row>
    <row r="1099" spans="1:10" x14ac:dyDescent="0.35">
      <c r="A1099" t="str">
        <f t="shared" si="182"/>
        <v>SEP</v>
      </c>
      <c r="B1099" t="str">
        <f t="shared" si="186"/>
        <v>20</v>
      </c>
      <c r="C1099" t="str">
        <f t="shared" si="187"/>
        <v>2020/21</v>
      </c>
      <c r="D1099" t="str">
        <f t="shared" si="189"/>
        <v>SS SL 114903</v>
      </c>
      <c r="E1099" t="str">
        <f t="shared" si="188"/>
        <v>SS</v>
      </c>
      <c r="F1099" t="s">
        <v>25</v>
      </c>
      <c r="G1099" t="s">
        <v>22</v>
      </c>
      <c r="H1099">
        <v>2788.8</v>
      </c>
      <c r="I1099" t="str">
        <f t="shared" si="184"/>
        <v>Future Directions CIC</v>
      </c>
      <c r="J1099" t="str">
        <f t="shared" si="185"/>
        <v>Endeavour House (Future Directions) Private Contractors Agency And Contracted Services Supported Living Adult Health &amp; Social Care</v>
      </c>
    </row>
    <row r="1100" spans="1:10" x14ac:dyDescent="0.35">
      <c r="A1100" t="str">
        <f t="shared" si="182"/>
        <v>SEP</v>
      </c>
      <c r="B1100" t="str">
        <f t="shared" si="186"/>
        <v>20</v>
      </c>
      <c r="C1100" t="str">
        <f t="shared" si="187"/>
        <v>2020/21</v>
      </c>
      <c r="D1100" t="str">
        <f>"SS SL 115663"</f>
        <v>SS SL 115663</v>
      </c>
      <c r="E1100" t="str">
        <f t="shared" si="188"/>
        <v>SS</v>
      </c>
      <c r="F1100" t="s">
        <v>25</v>
      </c>
      <c r="G1100" t="s">
        <v>22</v>
      </c>
      <c r="H1100">
        <v>1892.42</v>
      </c>
      <c r="I1100" t="str">
        <f t="shared" si="184"/>
        <v>Future Directions CIC</v>
      </c>
      <c r="J1100" t="str">
        <f t="shared" si="185"/>
        <v>Endeavour House (Future Directions) Private Contractors Agency And Contracted Services Supported Living Adult Health &amp; Social Care</v>
      </c>
    </row>
    <row r="1101" spans="1:10" x14ac:dyDescent="0.35">
      <c r="A1101" t="str">
        <f t="shared" si="182"/>
        <v>SEP</v>
      </c>
      <c r="B1101" t="str">
        <f t="shared" si="186"/>
        <v>20</v>
      </c>
      <c r="C1101" t="str">
        <f t="shared" si="187"/>
        <v>2020/21</v>
      </c>
      <c r="D1101" t="str">
        <f t="shared" ref="D1101:D1114" si="190">"SS SL 114904"</f>
        <v>SS SL 114904</v>
      </c>
      <c r="E1101" t="str">
        <f t="shared" si="188"/>
        <v>SS</v>
      </c>
      <c r="F1101" t="s">
        <v>25</v>
      </c>
      <c r="G1101" t="s">
        <v>22</v>
      </c>
      <c r="H1101">
        <v>132.80000000000001</v>
      </c>
      <c r="I1101" t="str">
        <f t="shared" si="184"/>
        <v>Future Directions CIC</v>
      </c>
      <c r="J1101" t="str">
        <f t="shared" si="185"/>
        <v>Endeavour House (Future Directions) Private Contractors Agency And Contracted Services Supported Living Adult Health &amp; Social Care</v>
      </c>
    </row>
    <row r="1102" spans="1:10" x14ac:dyDescent="0.35">
      <c r="A1102" t="str">
        <f t="shared" si="182"/>
        <v>SEP</v>
      </c>
      <c r="B1102" t="str">
        <f t="shared" si="186"/>
        <v>20</v>
      </c>
      <c r="C1102" t="str">
        <f t="shared" si="187"/>
        <v>2020/21</v>
      </c>
      <c r="D1102" t="str">
        <f t="shared" si="190"/>
        <v>SS SL 114904</v>
      </c>
      <c r="E1102" t="str">
        <f t="shared" si="188"/>
        <v>SS</v>
      </c>
      <c r="F1102" t="s">
        <v>25</v>
      </c>
      <c r="G1102" t="s">
        <v>22</v>
      </c>
      <c r="H1102">
        <v>571.20000000000005</v>
      </c>
      <c r="I1102" t="str">
        <f t="shared" si="184"/>
        <v>Future Directions CIC</v>
      </c>
      <c r="J1102" t="str">
        <f t="shared" si="185"/>
        <v>Endeavour House (Future Directions) Private Contractors Agency And Contracted Services Supported Living Adult Health &amp; Social Care</v>
      </c>
    </row>
    <row r="1103" spans="1:10" x14ac:dyDescent="0.35">
      <c r="A1103" t="str">
        <f t="shared" si="182"/>
        <v>SEP</v>
      </c>
      <c r="B1103" t="str">
        <f t="shared" si="186"/>
        <v>20</v>
      </c>
      <c r="C1103" t="str">
        <f t="shared" si="187"/>
        <v>2020/21</v>
      </c>
      <c r="D1103" t="str">
        <f t="shared" si="190"/>
        <v>SS SL 114904</v>
      </c>
      <c r="E1103" t="str">
        <f t="shared" si="188"/>
        <v>SS</v>
      </c>
      <c r="F1103" t="s">
        <v>25</v>
      </c>
      <c r="G1103" t="s">
        <v>22</v>
      </c>
      <c r="H1103">
        <v>2921.6</v>
      </c>
      <c r="I1103" t="str">
        <f t="shared" si="184"/>
        <v>Future Directions CIC</v>
      </c>
      <c r="J1103" t="str">
        <f t="shared" si="185"/>
        <v>Endeavour House (Future Directions) Private Contractors Agency And Contracted Services Supported Living Adult Health &amp; Social Care</v>
      </c>
    </row>
    <row r="1104" spans="1:10" x14ac:dyDescent="0.35">
      <c r="A1104" t="str">
        <f t="shared" si="182"/>
        <v>SEP</v>
      </c>
      <c r="B1104" t="str">
        <f t="shared" si="186"/>
        <v>20</v>
      </c>
      <c r="C1104" t="str">
        <f t="shared" si="187"/>
        <v>2020/21</v>
      </c>
      <c r="D1104" t="str">
        <f t="shared" si="190"/>
        <v>SS SL 114904</v>
      </c>
      <c r="E1104" t="str">
        <f t="shared" si="188"/>
        <v>SS</v>
      </c>
      <c r="F1104" t="s">
        <v>25</v>
      </c>
      <c r="G1104" t="s">
        <v>22</v>
      </c>
      <c r="H1104">
        <v>2028.52</v>
      </c>
      <c r="I1104" t="str">
        <f t="shared" si="184"/>
        <v>Future Directions CIC</v>
      </c>
      <c r="J1104" t="str">
        <f t="shared" si="185"/>
        <v>Endeavour House (Future Directions) Private Contractors Agency And Contracted Services Supported Living Adult Health &amp; Social Care</v>
      </c>
    </row>
    <row r="1105" spans="1:10" x14ac:dyDescent="0.35">
      <c r="A1105" t="str">
        <f t="shared" si="182"/>
        <v>SEP</v>
      </c>
      <c r="B1105" t="str">
        <f t="shared" si="186"/>
        <v>20</v>
      </c>
      <c r="C1105" t="str">
        <f t="shared" si="187"/>
        <v>2020/21</v>
      </c>
      <c r="D1105" t="str">
        <f t="shared" si="190"/>
        <v>SS SL 114904</v>
      </c>
      <c r="E1105" t="str">
        <f t="shared" si="188"/>
        <v>SS</v>
      </c>
      <c r="F1105" t="s">
        <v>25</v>
      </c>
      <c r="G1105" t="s">
        <v>22</v>
      </c>
      <c r="H1105">
        <v>132.80000000000001</v>
      </c>
      <c r="I1105" t="str">
        <f t="shared" si="184"/>
        <v>Future Directions CIC</v>
      </c>
      <c r="J1105" t="str">
        <f t="shared" si="185"/>
        <v>Endeavour House (Future Directions) Private Contractors Agency And Contracted Services Supported Living Adult Health &amp; Social Care</v>
      </c>
    </row>
    <row r="1106" spans="1:10" x14ac:dyDescent="0.35">
      <c r="A1106" t="str">
        <f t="shared" si="182"/>
        <v>SEP</v>
      </c>
      <c r="B1106" t="str">
        <f t="shared" si="186"/>
        <v>20</v>
      </c>
      <c r="C1106" t="str">
        <f t="shared" si="187"/>
        <v>2020/21</v>
      </c>
      <c r="D1106" t="str">
        <f t="shared" si="190"/>
        <v>SS SL 114904</v>
      </c>
      <c r="E1106" t="str">
        <f t="shared" si="188"/>
        <v>SS</v>
      </c>
      <c r="F1106" t="s">
        <v>25</v>
      </c>
      <c r="G1106" t="s">
        <v>22</v>
      </c>
      <c r="H1106">
        <v>-3.32</v>
      </c>
      <c r="I1106" t="str">
        <f t="shared" si="184"/>
        <v>Future Directions CIC</v>
      </c>
      <c r="J1106" t="str">
        <f t="shared" si="185"/>
        <v>Endeavour House (Future Directions) Private Contractors Agency And Contracted Services Supported Living Adult Health &amp; Social Care</v>
      </c>
    </row>
    <row r="1107" spans="1:10" x14ac:dyDescent="0.35">
      <c r="A1107" t="str">
        <f t="shared" si="182"/>
        <v>SEP</v>
      </c>
      <c r="B1107" t="str">
        <f t="shared" si="186"/>
        <v>20</v>
      </c>
      <c r="C1107" t="str">
        <f t="shared" si="187"/>
        <v>2020/21</v>
      </c>
      <c r="D1107" t="str">
        <f t="shared" si="190"/>
        <v>SS SL 114904</v>
      </c>
      <c r="E1107" t="str">
        <f t="shared" si="188"/>
        <v>SS</v>
      </c>
      <c r="F1107" t="s">
        <v>25</v>
      </c>
      <c r="G1107" t="s">
        <v>22</v>
      </c>
      <c r="H1107">
        <v>571.20000000000005</v>
      </c>
      <c r="I1107" t="str">
        <f t="shared" si="184"/>
        <v>Future Directions CIC</v>
      </c>
      <c r="J1107" t="str">
        <f t="shared" si="185"/>
        <v>Endeavour House (Future Directions) Private Contractors Agency And Contracted Services Supported Living Adult Health &amp; Social Care</v>
      </c>
    </row>
    <row r="1108" spans="1:10" x14ac:dyDescent="0.35">
      <c r="A1108" t="str">
        <f t="shared" si="182"/>
        <v>SEP</v>
      </c>
      <c r="B1108" t="str">
        <f t="shared" si="186"/>
        <v>20</v>
      </c>
      <c r="C1108" t="str">
        <f t="shared" si="187"/>
        <v>2020/21</v>
      </c>
      <c r="D1108" t="str">
        <f t="shared" si="190"/>
        <v>SS SL 114904</v>
      </c>
      <c r="E1108" t="str">
        <f t="shared" si="188"/>
        <v>SS</v>
      </c>
      <c r="F1108" t="s">
        <v>25</v>
      </c>
      <c r="G1108" t="s">
        <v>22</v>
      </c>
      <c r="H1108">
        <v>571.20000000000005</v>
      </c>
      <c r="I1108" t="str">
        <f t="shared" si="184"/>
        <v>Future Directions CIC</v>
      </c>
      <c r="J1108" t="str">
        <f t="shared" si="185"/>
        <v>Endeavour House (Future Directions) Private Contractors Agency And Contracted Services Supported Living Adult Health &amp; Social Care</v>
      </c>
    </row>
    <row r="1109" spans="1:10" x14ac:dyDescent="0.35">
      <c r="A1109" t="str">
        <f t="shared" si="182"/>
        <v>SEP</v>
      </c>
      <c r="B1109" t="str">
        <f t="shared" si="186"/>
        <v>20</v>
      </c>
      <c r="C1109" t="str">
        <f t="shared" si="187"/>
        <v>2020/21</v>
      </c>
      <c r="D1109" t="str">
        <f t="shared" si="190"/>
        <v>SS SL 114904</v>
      </c>
      <c r="E1109" t="str">
        <f t="shared" si="188"/>
        <v>SS</v>
      </c>
      <c r="F1109" t="s">
        <v>25</v>
      </c>
      <c r="G1109" t="s">
        <v>22</v>
      </c>
      <c r="H1109">
        <v>132.80000000000001</v>
      </c>
      <c r="I1109" t="str">
        <f t="shared" si="184"/>
        <v>Future Directions CIC</v>
      </c>
      <c r="J1109" t="str">
        <f t="shared" si="185"/>
        <v>Endeavour House (Future Directions) Private Contractors Agency And Contracted Services Supported Living Adult Health &amp; Social Care</v>
      </c>
    </row>
    <row r="1110" spans="1:10" x14ac:dyDescent="0.35">
      <c r="A1110" t="str">
        <f t="shared" si="182"/>
        <v>SEP</v>
      </c>
      <c r="B1110" t="str">
        <f t="shared" si="186"/>
        <v>20</v>
      </c>
      <c r="C1110" t="str">
        <f t="shared" si="187"/>
        <v>2020/21</v>
      </c>
      <c r="D1110" t="str">
        <f t="shared" si="190"/>
        <v>SS SL 114904</v>
      </c>
      <c r="E1110" t="str">
        <f t="shared" si="188"/>
        <v>SS</v>
      </c>
      <c r="F1110" t="s">
        <v>25</v>
      </c>
      <c r="G1110" t="s">
        <v>22</v>
      </c>
      <c r="H1110">
        <v>3004.6</v>
      </c>
      <c r="I1110" t="str">
        <f t="shared" si="184"/>
        <v>Future Directions CIC</v>
      </c>
      <c r="J1110" t="str">
        <f t="shared" si="185"/>
        <v>Endeavour House (Future Directions) Private Contractors Agency And Contracted Services Supported Living Adult Health &amp; Social Care</v>
      </c>
    </row>
    <row r="1111" spans="1:10" x14ac:dyDescent="0.35">
      <c r="A1111" t="str">
        <f t="shared" si="182"/>
        <v>SEP</v>
      </c>
      <c r="B1111" t="str">
        <f t="shared" si="186"/>
        <v>20</v>
      </c>
      <c r="C1111" t="str">
        <f t="shared" si="187"/>
        <v>2020/21</v>
      </c>
      <c r="D1111" t="str">
        <f t="shared" si="190"/>
        <v>SS SL 114904</v>
      </c>
      <c r="E1111" t="str">
        <f t="shared" si="188"/>
        <v>SS</v>
      </c>
      <c r="F1111" t="s">
        <v>25</v>
      </c>
      <c r="G1111" t="s">
        <v>22</v>
      </c>
      <c r="H1111">
        <v>-3.32</v>
      </c>
      <c r="I1111" t="str">
        <f t="shared" si="184"/>
        <v>Future Directions CIC</v>
      </c>
      <c r="J1111" t="str">
        <f t="shared" si="185"/>
        <v>Endeavour House (Future Directions) Private Contractors Agency And Contracted Services Supported Living Adult Health &amp; Social Care</v>
      </c>
    </row>
    <row r="1112" spans="1:10" x14ac:dyDescent="0.35">
      <c r="A1112" t="str">
        <f t="shared" si="182"/>
        <v>SEP</v>
      </c>
      <c r="B1112" t="str">
        <f t="shared" si="186"/>
        <v>20</v>
      </c>
      <c r="C1112" t="str">
        <f t="shared" si="187"/>
        <v>2020/21</v>
      </c>
      <c r="D1112" t="str">
        <f t="shared" si="190"/>
        <v>SS SL 114904</v>
      </c>
      <c r="E1112" t="str">
        <f t="shared" si="188"/>
        <v>SS</v>
      </c>
      <c r="F1112" t="s">
        <v>25</v>
      </c>
      <c r="G1112" t="s">
        <v>22</v>
      </c>
      <c r="H1112">
        <v>571.20000000000005</v>
      </c>
      <c r="I1112" t="str">
        <f t="shared" si="184"/>
        <v>Future Directions CIC</v>
      </c>
      <c r="J1112" t="str">
        <f t="shared" si="185"/>
        <v>Endeavour House (Future Directions) Private Contractors Agency And Contracted Services Supported Living Adult Health &amp; Social Care</v>
      </c>
    </row>
    <row r="1113" spans="1:10" x14ac:dyDescent="0.35">
      <c r="A1113" t="str">
        <f t="shared" si="182"/>
        <v>SEP</v>
      </c>
      <c r="B1113" t="str">
        <f t="shared" si="186"/>
        <v>20</v>
      </c>
      <c r="C1113" t="str">
        <f t="shared" si="187"/>
        <v>2020/21</v>
      </c>
      <c r="D1113" t="str">
        <f t="shared" si="190"/>
        <v>SS SL 114904</v>
      </c>
      <c r="E1113" t="str">
        <f t="shared" si="188"/>
        <v>SS</v>
      </c>
      <c r="F1113" t="s">
        <v>25</v>
      </c>
      <c r="G1113" t="s">
        <v>22</v>
      </c>
      <c r="H1113">
        <v>132.80000000000001</v>
      </c>
      <c r="I1113" t="str">
        <f t="shared" si="184"/>
        <v>Future Directions CIC</v>
      </c>
      <c r="J1113" t="str">
        <f t="shared" si="185"/>
        <v>Endeavour House (Future Directions) Private Contractors Agency And Contracted Services Supported Living Adult Health &amp; Social Care</v>
      </c>
    </row>
    <row r="1114" spans="1:10" x14ac:dyDescent="0.35">
      <c r="A1114" t="str">
        <f t="shared" si="182"/>
        <v>SEP</v>
      </c>
      <c r="B1114" t="str">
        <f t="shared" si="186"/>
        <v>20</v>
      </c>
      <c r="C1114" t="str">
        <f t="shared" si="187"/>
        <v>2020/21</v>
      </c>
      <c r="D1114" t="str">
        <f t="shared" si="190"/>
        <v>SS SL 114904</v>
      </c>
      <c r="E1114" t="str">
        <f t="shared" si="188"/>
        <v>SS</v>
      </c>
      <c r="F1114" t="s">
        <v>25</v>
      </c>
      <c r="G1114" t="s">
        <v>22</v>
      </c>
      <c r="H1114">
        <v>2426.92</v>
      </c>
      <c r="I1114" t="str">
        <f t="shared" si="184"/>
        <v>Future Directions CIC</v>
      </c>
      <c r="J1114" t="str">
        <f t="shared" si="185"/>
        <v>Endeavour House (Future Directions) Private Contractors Agency And Contracted Services Supported Living Adult Health &amp; Social Care</v>
      </c>
    </row>
    <row r="1115" spans="1:10" x14ac:dyDescent="0.35">
      <c r="A1115" t="str">
        <f t="shared" si="182"/>
        <v>SEP</v>
      </c>
      <c r="B1115" t="str">
        <f t="shared" si="186"/>
        <v>20</v>
      </c>
      <c r="C1115" t="str">
        <f t="shared" si="187"/>
        <v>2020/21</v>
      </c>
      <c r="D1115" t="str">
        <f>"SS SL 114891"</f>
        <v>SS SL 114891</v>
      </c>
      <c r="E1115" t="str">
        <f t="shared" si="188"/>
        <v>SS</v>
      </c>
      <c r="F1115" t="s">
        <v>25</v>
      </c>
      <c r="G1115" t="s">
        <v>22</v>
      </c>
      <c r="H1115">
        <v>4150</v>
      </c>
      <c r="I1115" t="str">
        <f t="shared" ref="I1115:I1139" si="191">"Creative Support Ltd"</f>
        <v>Creative Support Ltd</v>
      </c>
      <c r="J1115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1116" spans="1:10" x14ac:dyDescent="0.35">
      <c r="A1116" t="str">
        <f t="shared" si="182"/>
        <v>SEP</v>
      </c>
      <c r="B1116" t="str">
        <f t="shared" si="186"/>
        <v>20</v>
      </c>
      <c r="C1116" t="str">
        <f t="shared" si="187"/>
        <v>2020/21</v>
      </c>
      <c r="D1116" t="str">
        <f>"SS SL 114891"</f>
        <v>SS SL 114891</v>
      </c>
      <c r="E1116" t="str">
        <f t="shared" si="188"/>
        <v>SS</v>
      </c>
      <c r="F1116" t="s">
        <v>25</v>
      </c>
      <c r="G1116" t="s">
        <v>22</v>
      </c>
      <c r="H1116">
        <v>2284.8000000000002</v>
      </c>
      <c r="I1116" t="str">
        <f t="shared" si="191"/>
        <v>Creative Support Ltd</v>
      </c>
      <c r="J1116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1117" spans="1:10" x14ac:dyDescent="0.35">
      <c r="A1117" t="str">
        <f t="shared" si="182"/>
        <v>SEP</v>
      </c>
      <c r="B1117" t="str">
        <f t="shared" si="186"/>
        <v>20</v>
      </c>
      <c r="C1117" t="str">
        <f t="shared" si="187"/>
        <v>2020/21</v>
      </c>
      <c r="D1117" t="str">
        <f>"SS SL 114891"</f>
        <v>SS SL 114891</v>
      </c>
      <c r="E1117" t="str">
        <f t="shared" si="188"/>
        <v>SS</v>
      </c>
      <c r="F1117" t="s">
        <v>25</v>
      </c>
      <c r="G1117" t="s">
        <v>22</v>
      </c>
      <c r="H1117">
        <v>5345.2</v>
      </c>
      <c r="I1117" t="str">
        <f t="shared" si="191"/>
        <v>Creative Support Ltd</v>
      </c>
      <c r="J1117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1118" spans="1:10" x14ac:dyDescent="0.35">
      <c r="A1118" t="str">
        <f t="shared" si="182"/>
        <v>SEP</v>
      </c>
      <c r="B1118" t="str">
        <f t="shared" si="186"/>
        <v>20</v>
      </c>
      <c r="C1118" t="str">
        <f t="shared" si="187"/>
        <v>2020/21</v>
      </c>
      <c r="D1118" t="str">
        <f>"SS SL 115661"</f>
        <v>SS SL 115661</v>
      </c>
      <c r="E1118" t="str">
        <f t="shared" si="188"/>
        <v>SS</v>
      </c>
      <c r="F1118" t="s">
        <v>25</v>
      </c>
      <c r="G1118" t="s">
        <v>22</v>
      </c>
      <c r="H1118">
        <v>2689.23</v>
      </c>
      <c r="I1118" t="str">
        <f t="shared" si="191"/>
        <v>Creative Support Ltd</v>
      </c>
      <c r="J1118" t="str">
        <f t="shared" ref="J1118:J1124" si="192"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1119" spans="1:10" x14ac:dyDescent="0.35">
      <c r="A1119" t="str">
        <f t="shared" si="182"/>
        <v>SEP</v>
      </c>
      <c r="B1119" t="str">
        <f t="shared" si="186"/>
        <v>20</v>
      </c>
      <c r="C1119" t="str">
        <f t="shared" si="187"/>
        <v>2020/21</v>
      </c>
      <c r="D1119" t="str">
        <f t="shared" ref="D1119:D1124" si="193">"SS SL 114883"</f>
        <v>SS SL 114883</v>
      </c>
      <c r="E1119" t="str">
        <f t="shared" si="188"/>
        <v>SS</v>
      </c>
      <c r="F1119" t="s">
        <v>25</v>
      </c>
      <c r="G1119" t="s">
        <v>22</v>
      </c>
      <c r="H1119">
        <v>1759.6</v>
      </c>
      <c r="I1119" t="str">
        <f t="shared" si="191"/>
        <v>Creative Support Ltd</v>
      </c>
      <c r="J1119" t="str">
        <f t="shared" si="192"/>
        <v>Beech House (Creative Support) Private Contractors Agency And Contracted Services Supported Living Adult Health &amp; Social Care</v>
      </c>
    </row>
    <row r="1120" spans="1:10" x14ac:dyDescent="0.35">
      <c r="A1120" t="str">
        <f t="shared" si="182"/>
        <v>SEP</v>
      </c>
      <c r="B1120" t="str">
        <f t="shared" si="186"/>
        <v>20</v>
      </c>
      <c r="C1120" t="str">
        <f t="shared" si="187"/>
        <v>2020/21</v>
      </c>
      <c r="D1120" t="str">
        <f t="shared" si="193"/>
        <v>SS SL 114883</v>
      </c>
      <c r="E1120" t="str">
        <f t="shared" si="188"/>
        <v>SS</v>
      </c>
      <c r="F1120" t="s">
        <v>25</v>
      </c>
      <c r="G1120" t="s">
        <v>22</v>
      </c>
      <c r="H1120">
        <v>3154</v>
      </c>
      <c r="I1120" t="str">
        <f t="shared" si="191"/>
        <v>Creative Support Ltd</v>
      </c>
      <c r="J1120" t="str">
        <f t="shared" si="192"/>
        <v>Beech House (Creative Support) Private Contractors Agency And Contracted Services Supported Living Adult Health &amp; Social Care</v>
      </c>
    </row>
    <row r="1121" spans="1:10" x14ac:dyDescent="0.35">
      <c r="A1121" t="str">
        <f t="shared" si="182"/>
        <v>SEP</v>
      </c>
      <c r="B1121" t="str">
        <f t="shared" si="186"/>
        <v>20</v>
      </c>
      <c r="C1121" t="str">
        <f t="shared" si="187"/>
        <v>2020/21</v>
      </c>
      <c r="D1121" t="str">
        <f t="shared" si="193"/>
        <v>SS SL 114883</v>
      </c>
      <c r="E1121" t="str">
        <f t="shared" si="188"/>
        <v>SS</v>
      </c>
      <c r="F1121" t="s">
        <v>25</v>
      </c>
      <c r="G1121" t="s">
        <v>22</v>
      </c>
      <c r="H1121">
        <v>2284.8000000000002</v>
      </c>
      <c r="I1121" t="str">
        <f t="shared" si="191"/>
        <v>Creative Support Ltd</v>
      </c>
      <c r="J1121" t="str">
        <f t="shared" si="192"/>
        <v>Beech House (Creative Support) Private Contractors Agency And Contracted Services Supported Living Adult Health &amp; Social Care</v>
      </c>
    </row>
    <row r="1122" spans="1:10" x14ac:dyDescent="0.35">
      <c r="A1122" t="str">
        <f t="shared" si="182"/>
        <v>SEP</v>
      </c>
      <c r="B1122" t="str">
        <f t="shared" si="186"/>
        <v>20</v>
      </c>
      <c r="C1122" t="str">
        <f t="shared" si="187"/>
        <v>2020/21</v>
      </c>
      <c r="D1122" t="str">
        <f t="shared" si="193"/>
        <v>SS SL 114883</v>
      </c>
      <c r="E1122" t="str">
        <f t="shared" si="188"/>
        <v>SS</v>
      </c>
      <c r="F1122" t="s">
        <v>25</v>
      </c>
      <c r="G1122" t="s">
        <v>22</v>
      </c>
      <c r="H1122">
        <v>2988</v>
      </c>
      <c r="I1122" t="str">
        <f t="shared" si="191"/>
        <v>Creative Support Ltd</v>
      </c>
      <c r="J1122" t="str">
        <f t="shared" si="192"/>
        <v>Beech House (Creative Support) Private Contractors Agency And Contracted Services Supported Living Adult Health &amp; Social Care</v>
      </c>
    </row>
    <row r="1123" spans="1:10" x14ac:dyDescent="0.35">
      <c r="A1123" t="str">
        <f t="shared" si="182"/>
        <v>SEP</v>
      </c>
      <c r="B1123" t="str">
        <f t="shared" si="186"/>
        <v>20</v>
      </c>
      <c r="C1123" t="str">
        <f t="shared" si="187"/>
        <v>2020/21</v>
      </c>
      <c r="D1123" t="str">
        <f t="shared" si="193"/>
        <v>SS SL 114883</v>
      </c>
      <c r="E1123" t="str">
        <f t="shared" si="188"/>
        <v>SS</v>
      </c>
      <c r="F1123" t="s">
        <v>25</v>
      </c>
      <c r="G1123" t="s">
        <v>22</v>
      </c>
      <c r="H1123">
        <v>3917.6</v>
      </c>
      <c r="I1123" t="str">
        <f t="shared" si="191"/>
        <v>Creative Support Ltd</v>
      </c>
      <c r="J1123" t="str">
        <f t="shared" si="192"/>
        <v>Beech House (Creative Support) Private Contractors Agency And Contracted Services Supported Living Adult Health &amp; Social Care</v>
      </c>
    </row>
    <row r="1124" spans="1:10" x14ac:dyDescent="0.35">
      <c r="A1124" t="str">
        <f t="shared" si="182"/>
        <v>SEP</v>
      </c>
      <c r="B1124" t="str">
        <f t="shared" si="186"/>
        <v>20</v>
      </c>
      <c r="C1124" t="str">
        <f t="shared" si="187"/>
        <v>2020/21</v>
      </c>
      <c r="D1124" t="str">
        <f t="shared" si="193"/>
        <v>SS SL 114883</v>
      </c>
      <c r="E1124" t="str">
        <f t="shared" si="188"/>
        <v>SS</v>
      </c>
      <c r="F1124" t="s">
        <v>25</v>
      </c>
      <c r="G1124" t="s">
        <v>22</v>
      </c>
      <c r="H1124">
        <v>2124.8000000000002</v>
      </c>
      <c r="I1124" t="str">
        <f t="shared" si="191"/>
        <v>Creative Support Ltd</v>
      </c>
      <c r="J1124" t="str">
        <f t="shared" si="192"/>
        <v>Beech House (Creative Support) Private Contractors Agency And Contracted Services Supported Living Adult Health &amp; Social Care</v>
      </c>
    </row>
    <row r="1125" spans="1:10" x14ac:dyDescent="0.35">
      <c r="A1125" t="str">
        <f t="shared" si="182"/>
        <v>SEP</v>
      </c>
      <c r="B1125" t="str">
        <f t="shared" si="186"/>
        <v>20</v>
      </c>
      <c r="C1125" t="str">
        <f t="shared" si="187"/>
        <v>2020/21</v>
      </c>
      <c r="D1125" t="str">
        <f t="shared" ref="D1125:D1130" si="194">"SS SL 114882"</f>
        <v>SS SL 114882</v>
      </c>
      <c r="E1125" t="str">
        <f t="shared" si="188"/>
        <v>SS</v>
      </c>
      <c r="F1125" t="s">
        <v>25</v>
      </c>
      <c r="G1125" t="s">
        <v>22</v>
      </c>
      <c r="H1125">
        <v>2158</v>
      </c>
      <c r="I1125" t="str">
        <f t="shared" si="191"/>
        <v>Creative Support Ltd</v>
      </c>
      <c r="J1125" t="str">
        <f t="shared" ref="J1125:J1130" si="195"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1126" spans="1:10" x14ac:dyDescent="0.35">
      <c r="A1126" t="str">
        <f t="shared" si="182"/>
        <v>SEP</v>
      </c>
      <c r="B1126" t="str">
        <f t="shared" si="186"/>
        <v>20</v>
      </c>
      <c r="C1126" t="str">
        <f t="shared" si="187"/>
        <v>2020/21</v>
      </c>
      <c r="D1126" t="str">
        <f t="shared" si="194"/>
        <v>SS SL 114882</v>
      </c>
      <c r="E1126" t="str">
        <f t="shared" si="188"/>
        <v>SS</v>
      </c>
      <c r="F1126" t="s">
        <v>25</v>
      </c>
      <c r="G1126" t="s">
        <v>22</v>
      </c>
      <c r="H1126">
        <v>2490</v>
      </c>
      <c r="I1126" t="str">
        <f t="shared" si="191"/>
        <v>Creative Support Ltd</v>
      </c>
      <c r="J1126" t="str">
        <f t="shared" si="195"/>
        <v>Railway Terrace (Creative Support) Private Contractors Agency And Contracted Services Supported Living Adult Health &amp; Social Care</v>
      </c>
    </row>
    <row r="1127" spans="1:10" x14ac:dyDescent="0.35">
      <c r="A1127" t="str">
        <f t="shared" si="182"/>
        <v>SEP</v>
      </c>
      <c r="B1127" t="str">
        <f t="shared" si="186"/>
        <v>20</v>
      </c>
      <c r="C1127" t="str">
        <f t="shared" si="187"/>
        <v>2020/21</v>
      </c>
      <c r="D1127" t="str">
        <f t="shared" si="194"/>
        <v>SS SL 114882</v>
      </c>
      <c r="E1127" t="str">
        <f t="shared" si="188"/>
        <v>SS</v>
      </c>
      <c r="F1127" t="s">
        <v>25</v>
      </c>
      <c r="G1127" t="s">
        <v>22</v>
      </c>
      <c r="H1127">
        <v>2357.1999999999998</v>
      </c>
      <c r="I1127" t="str">
        <f t="shared" si="191"/>
        <v>Creative Support Ltd</v>
      </c>
      <c r="J1127" t="str">
        <f t="shared" si="195"/>
        <v>Railway Terrace (Creative Support) Private Contractors Agency And Contracted Services Supported Living Adult Health &amp; Social Care</v>
      </c>
    </row>
    <row r="1128" spans="1:10" x14ac:dyDescent="0.35">
      <c r="A1128" t="str">
        <f t="shared" si="182"/>
        <v>SEP</v>
      </c>
      <c r="B1128" t="str">
        <f t="shared" si="186"/>
        <v>20</v>
      </c>
      <c r="C1128" t="str">
        <f t="shared" si="187"/>
        <v>2020/21</v>
      </c>
      <c r="D1128" t="str">
        <f t="shared" si="194"/>
        <v>SS SL 114882</v>
      </c>
      <c r="E1128" t="str">
        <f t="shared" si="188"/>
        <v>SS</v>
      </c>
      <c r="F1128" t="s">
        <v>25</v>
      </c>
      <c r="G1128" t="s">
        <v>22</v>
      </c>
      <c r="H1128">
        <v>2158</v>
      </c>
      <c r="I1128" t="str">
        <f t="shared" si="191"/>
        <v>Creative Support Ltd</v>
      </c>
      <c r="J1128" t="str">
        <f t="shared" si="195"/>
        <v>Railway Terrace (Creative Support) Private Contractors Agency And Contracted Services Supported Living Adult Health &amp; Social Care</v>
      </c>
    </row>
    <row r="1129" spans="1:10" x14ac:dyDescent="0.35">
      <c r="A1129" t="str">
        <f t="shared" si="182"/>
        <v>SEP</v>
      </c>
      <c r="B1129" t="str">
        <f t="shared" si="186"/>
        <v>20</v>
      </c>
      <c r="C1129" t="str">
        <f t="shared" si="187"/>
        <v>2020/21</v>
      </c>
      <c r="D1129" t="str">
        <f t="shared" si="194"/>
        <v>SS SL 114882</v>
      </c>
      <c r="E1129" t="str">
        <f t="shared" si="188"/>
        <v>SS</v>
      </c>
      <c r="F1129" t="s">
        <v>25</v>
      </c>
      <c r="G1129" t="s">
        <v>22</v>
      </c>
      <c r="H1129">
        <v>1626.8</v>
      </c>
      <c r="I1129" t="str">
        <f t="shared" si="191"/>
        <v>Creative Support Ltd</v>
      </c>
      <c r="J1129" t="str">
        <f t="shared" si="195"/>
        <v>Railway Terrace (Creative Support) Private Contractors Agency And Contracted Services Supported Living Adult Health &amp; Social Care</v>
      </c>
    </row>
    <row r="1130" spans="1:10" x14ac:dyDescent="0.35">
      <c r="A1130" t="str">
        <f t="shared" si="182"/>
        <v>SEP</v>
      </c>
      <c r="B1130" t="str">
        <f t="shared" si="186"/>
        <v>20</v>
      </c>
      <c r="C1130" t="str">
        <f t="shared" si="187"/>
        <v>2020/21</v>
      </c>
      <c r="D1130" t="str">
        <f t="shared" si="194"/>
        <v>SS SL 114882</v>
      </c>
      <c r="E1130" t="str">
        <f t="shared" si="188"/>
        <v>SS</v>
      </c>
      <c r="F1130" t="s">
        <v>25</v>
      </c>
      <c r="G1130" t="s">
        <v>22</v>
      </c>
      <c r="H1130">
        <v>2284.8000000000002</v>
      </c>
      <c r="I1130" t="str">
        <f t="shared" si="191"/>
        <v>Creative Support Ltd</v>
      </c>
      <c r="J1130" t="str">
        <f t="shared" si="195"/>
        <v>Railway Terrace (Creative Support) Private Contractors Agency And Contracted Services Supported Living Adult Health &amp; Social Care</v>
      </c>
    </row>
    <row r="1131" spans="1:10" x14ac:dyDescent="0.35">
      <c r="A1131" t="str">
        <f t="shared" si="182"/>
        <v>SEP</v>
      </c>
      <c r="B1131" t="str">
        <f t="shared" si="186"/>
        <v>20</v>
      </c>
      <c r="C1131" t="str">
        <f t="shared" si="187"/>
        <v>2020/21</v>
      </c>
      <c r="D1131" t="str">
        <f>"SS SL 114884"</f>
        <v>SS SL 114884</v>
      </c>
      <c r="E1131" t="str">
        <f t="shared" si="188"/>
        <v>SS</v>
      </c>
      <c r="F1131" t="s">
        <v>25</v>
      </c>
      <c r="G1131" t="s">
        <v>22</v>
      </c>
      <c r="H1131">
        <v>3452.8</v>
      </c>
      <c r="I1131" t="str">
        <f t="shared" si="191"/>
        <v>Creative Support Ltd</v>
      </c>
      <c r="J1131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132" spans="1:10" x14ac:dyDescent="0.35">
      <c r="A1132" t="str">
        <f t="shared" si="182"/>
        <v>SEP</v>
      </c>
      <c r="B1132" t="str">
        <f t="shared" si="186"/>
        <v>20</v>
      </c>
      <c r="C1132" t="str">
        <f t="shared" si="187"/>
        <v>2020/21</v>
      </c>
      <c r="D1132" t="str">
        <f>"SS SL 114884"</f>
        <v>SS SL 114884</v>
      </c>
      <c r="E1132" t="str">
        <f t="shared" si="188"/>
        <v>SS</v>
      </c>
      <c r="F1132" t="s">
        <v>25</v>
      </c>
      <c r="G1132" t="s">
        <v>22</v>
      </c>
      <c r="H1132">
        <v>6308</v>
      </c>
      <c r="I1132" t="str">
        <f t="shared" si="191"/>
        <v>Creative Support Ltd</v>
      </c>
      <c r="J1132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133" spans="1:10" x14ac:dyDescent="0.35">
      <c r="A1133" t="str">
        <f t="shared" si="182"/>
        <v>SEP</v>
      </c>
      <c r="B1133" t="str">
        <f t="shared" si="186"/>
        <v>20</v>
      </c>
      <c r="C1133" t="str">
        <f t="shared" si="187"/>
        <v>2020/21</v>
      </c>
      <c r="D1133" t="str">
        <f>"SS SL 114884"</f>
        <v>SS SL 114884</v>
      </c>
      <c r="E1133" t="str">
        <f t="shared" si="188"/>
        <v>SS</v>
      </c>
      <c r="F1133" t="s">
        <v>25</v>
      </c>
      <c r="G1133" t="s">
        <v>22</v>
      </c>
      <c r="H1133">
        <v>2284.8000000000002</v>
      </c>
      <c r="I1133" t="str">
        <f t="shared" si="191"/>
        <v>Creative Support Ltd</v>
      </c>
      <c r="J1133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134" spans="1:10" x14ac:dyDescent="0.35">
      <c r="A1134" t="str">
        <f t="shared" si="182"/>
        <v>SEP</v>
      </c>
      <c r="B1134" t="str">
        <f t="shared" si="186"/>
        <v>20</v>
      </c>
      <c r="C1134" t="str">
        <f t="shared" si="187"/>
        <v>2020/21</v>
      </c>
      <c r="D1134" t="str">
        <f>"SS SL 114884"</f>
        <v>SS SL 114884</v>
      </c>
      <c r="E1134" t="str">
        <f t="shared" si="188"/>
        <v>SS</v>
      </c>
      <c r="F1134" t="s">
        <v>25</v>
      </c>
      <c r="G1134" t="s">
        <v>22</v>
      </c>
      <c r="H1134">
        <v>3452.8</v>
      </c>
      <c r="I1134" t="str">
        <f t="shared" si="191"/>
        <v>Creative Support Ltd</v>
      </c>
      <c r="J1134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135" spans="1:10" x14ac:dyDescent="0.35">
      <c r="A1135" t="str">
        <f t="shared" si="182"/>
        <v>SEP</v>
      </c>
      <c r="B1135" t="str">
        <f t="shared" si="186"/>
        <v>20</v>
      </c>
      <c r="C1135" t="str">
        <f t="shared" si="187"/>
        <v>2020/21</v>
      </c>
      <c r="D1135" t="str">
        <f>"SS SL 114892"</f>
        <v>SS SL 114892</v>
      </c>
      <c r="E1135" t="str">
        <f t="shared" si="188"/>
        <v>SS</v>
      </c>
      <c r="F1135" t="s">
        <v>25</v>
      </c>
      <c r="G1135" t="s">
        <v>22</v>
      </c>
      <c r="H1135">
        <v>2656</v>
      </c>
      <c r="I1135" t="str">
        <f t="shared" si="191"/>
        <v>Creative Support Ltd</v>
      </c>
      <c r="J1135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136" spans="1:10" x14ac:dyDescent="0.35">
      <c r="A1136" t="str">
        <f t="shared" si="182"/>
        <v>SEP</v>
      </c>
      <c r="B1136" t="str">
        <f t="shared" si="186"/>
        <v>20</v>
      </c>
      <c r="C1136" t="str">
        <f t="shared" si="187"/>
        <v>2020/21</v>
      </c>
      <c r="D1136" t="str">
        <f>"SS SL 114892"</f>
        <v>SS SL 114892</v>
      </c>
      <c r="E1136" t="str">
        <f t="shared" si="188"/>
        <v>SS</v>
      </c>
      <c r="F1136" t="s">
        <v>25</v>
      </c>
      <c r="G1136" t="s">
        <v>22</v>
      </c>
      <c r="H1136">
        <v>3253.6</v>
      </c>
      <c r="I1136" t="str">
        <f t="shared" si="191"/>
        <v>Creative Support Ltd</v>
      </c>
      <c r="J1136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137" spans="1:10" x14ac:dyDescent="0.35">
      <c r="A1137" t="str">
        <f t="shared" si="182"/>
        <v>SEP</v>
      </c>
      <c r="B1137" t="str">
        <f t="shared" si="186"/>
        <v>20</v>
      </c>
      <c r="C1137" t="str">
        <f t="shared" si="187"/>
        <v>2020/21</v>
      </c>
      <c r="D1137" t="str">
        <f>"SS SL 114892"</f>
        <v>SS SL 114892</v>
      </c>
      <c r="E1137" t="str">
        <f t="shared" si="188"/>
        <v>SS</v>
      </c>
      <c r="F1137" t="s">
        <v>25</v>
      </c>
      <c r="G1137" t="s">
        <v>22</v>
      </c>
      <c r="H1137">
        <v>2788.8</v>
      </c>
      <c r="I1137" t="str">
        <f t="shared" si="191"/>
        <v>Creative Support Ltd</v>
      </c>
      <c r="J1137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138" spans="1:10" x14ac:dyDescent="0.35">
      <c r="A1138" t="str">
        <f t="shared" si="182"/>
        <v>SEP</v>
      </c>
      <c r="B1138" t="str">
        <f t="shared" si="186"/>
        <v>20</v>
      </c>
      <c r="C1138" t="str">
        <f t="shared" si="187"/>
        <v>2020/21</v>
      </c>
      <c r="D1138" t="str">
        <f>"SS SL 114892"</f>
        <v>SS SL 114892</v>
      </c>
      <c r="E1138" t="str">
        <f t="shared" si="188"/>
        <v>SS</v>
      </c>
      <c r="F1138" t="s">
        <v>25</v>
      </c>
      <c r="G1138" t="s">
        <v>22</v>
      </c>
      <c r="H1138">
        <v>3270.2</v>
      </c>
      <c r="I1138" t="str">
        <f t="shared" si="191"/>
        <v>Creative Support Ltd</v>
      </c>
      <c r="J1138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139" spans="1:10" x14ac:dyDescent="0.35">
      <c r="A1139" t="str">
        <f t="shared" si="182"/>
        <v>SEP</v>
      </c>
      <c r="B1139" t="str">
        <f t="shared" si="186"/>
        <v>20</v>
      </c>
      <c r="C1139" t="str">
        <f t="shared" si="187"/>
        <v>2020/21</v>
      </c>
      <c r="D1139" t="str">
        <f>"SS SL 114892"</f>
        <v>SS SL 114892</v>
      </c>
      <c r="E1139" t="str">
        <f t="shared" si="188"/>
        <v>SS</v>
      </c>
      <c r="F1139" t="s">
        <v>25</v>
      </c>
      <c r="G1139" t="s">
        <v>22</v>
      </c>
      <c r="H1139">
        <v>2284.8000000000002</v>
      </c>
      <c r="I1139" t="str">
        <f t="shared" si="191"/>
        <v>Creative Support Ltd</v>
      </c>
      <c r="J1139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140" spans="1:10" x14ac:dyDescent="0.35">
      <c r="A1140" t="str">
        <f t="shared" si="182"/>
        <v>SEP</v>
      </c>
      <c r="B1140" t="str">
        <f t="shared" si="186"/>
        <v>20</v>
      </c>
      <c r="C1140" t="str">
        <f t="shared" si="187"/>
        <v>2020/21</v>
      </c>
      <c r="D1140" t="str">
        <f>"SS SL 113638"</f>
        <v>SS SL 113638</v>
      </c>
      <c r="E1140" t="str">
        <f t="shared" si="188"/>
        <v>SS</v>
      </c>
      <c r="F1140" t="s">
        <v>25</v>
      </c>
      <c r="G1140" t="s">
        <v>22</v>
      </c>
      <c r="H1140">
        <v>4849.76</v>
      </c>
      <c r="I1140" t="str">
        <f>"Autism Plus Ltd"</f>
        <v>Autism Plus Ltd</v>
      </c>
      <c r="J1140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1141" spans="1:10" x14ac:dyDescent="0.35">
      <c r="A1141" t="str">
        <f t="shared" si="182"/>
        <v>SEP</v>
      </c>
      <c r="B1141" t="str">
        <f t="shared" si="186"/>
        <v>20</v>
      </c>
      <c r="C1141" t="str">
        <f t="shared" si="187"/>
        <v>2020/21</v>
      </c>
      <c r="D1141" t="str">
        <f>"SS SL 114877"</f>
        <v>SS SL 114877</v>
      </c>
      <c r="E1141" t="str">
        <f t="shared" si="188"/>
        <v>SS</v>
      </c>
      <c r="F1141" t="s">
        <v>25</v>
      </c>
      <c r="G1141" t="s">
        <v>22</v>
      </c>
      <c r="H1141">
        <v>-0.05</v>
      </c>
      <c r="I1141" t="str">
        <f>"Creative Support Ltd"</f>
        <v>Creative Support Ltd</v>
      </c>
      <c r="J1141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142" spans="1:10" x14ac:dyDescent="0.35">
      <c r="A1142" t="str">
        <f t="shared" si="182"/>
        <v>SEP</v>
      </c>
      <c r="B1142" t="str">
        <f t="shared" si="186"/>
        <v>20</v>
      </c>
      <c r="C1142" t="str">
        <f t="shared" si="187"/>
        <v>2020/21</v>
      </c>
      <c r="D1142" t="str">
        <f>"SS SL 114877"</f>
        <v>SS SL 114877</v>
      </c>
      <c r="E1142" t="str">
        <f t="shared" si="188"/>
        <v>SS</v>
      </c>
      <c r="F1142" t="s">
        <v>25</v>
      </c>
      <c r="G1142" t="s">
        <v>22</v>
      </c>
      <c r="H1142">
        <v>2526.7199999999998</v>
      </c>
      <c r="I1142" t="str">
        <f>"Creative Support Ltd"</f>
        <v>Creative Support Ltd</v>
      </c>
      <c r="J1142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143" spans="1:10" x14ac:dyDescent="0.35">
      <c r="A1143" t="str">
        <f t="shared" si="182"/>
        <v>SEP</v>
      </c>
      <c r="B1143" t="str">
        <f t="shared" si="186"/>
        <v>20</v>
      </c>
      <c r="C1143" t="str">
        <f t="shared" si="187"/>
        <v>2020/21</v>
      </c>
      <c r="D1143" t="str">
        <f>"SS SL 114877"</f>
        <v>SS SL 114877</v>
      </c>
      <c r="E1143" t="str">
        <f t="shared" si="188"/>
        <v>SS</v>
      </c>
      <c r="F1143" t="s">
        <v>25</v>
      </c>
      <c r="G1143" t="s">
        <v>22</v>
      </c>
      <c r="H1143">
        <v>8368.56</v>
      </c>
      <c r="I1143" t="str">
        <f>"Creative Support Ltd"</f>
        <v>Creative Support Ltd</v>
      </c>
      <c r="J1143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144" spans="1:10" x14ac:dyDescent="0.35">
      <c r="A1144" t="str">
        <f t="shared" si="182"/>
        <v>SEP</v>
      </c>
      <c r="B1144" t="str">
        <f t="shared" si="186"/>
        <v>20</v>
      </c>
      <c r="C1144" t="str">
        <f t="shared" si="187"/>
        <v>2020/21</v>
      </c>
      <c r="D1144" t="str">
        <f>"SS SL 114877"</f>
        <v>SS SL 114877</v>
      </c>
      <c r="E1144" t="str">
        <f t="shared" si="188"/>
        <v>SS</v>
      </c>
      <c r="F1144" t="s">
        <v>25</v>
      </c>
      <c r="G1144" t="s">
        <v>22</v>
      </c>
      <c r="H1144">
        <v>7428.88</v>
      </c>
      <c r="I1144" t="str">
        <f>"Creative Support Ltd"</f>
        <v>Creative Support Ltd</v>
      </c>
      <c r="J1144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145" spans="1:10" x14ac:dyDescent="0.35">
      <c r="A1145" t="str">
        <f t="shared" si="182"/>
        <v>SEP</v>
      </c>
      <c r="B1145" t="str">
        <f t="shared" si="186"/>
        <v>20</v>
      </c>
      <c r="C1145" t="str">
        <f t="shared" si="187"/>
        <v>2020/21</v>
      </c>
      <c r="D1145" t="str">
        <f>"SS SL 114877"</f>
        <v>SS SL 114877</v>
      </c>
      <c r="E1145" t="str">
        <f t="shared" si="188"/>
        <v>SS</v>
      </c>
      <c r="F1145" t="s">
        <v>25</v>
      </c>
      <c r="G1145" t="s">
        <v>22</v>
      </c>
      <c r="H1145">
        <v>1493.36</v>
      </c>
      <c r="I1145" t="str">
        <f>"Creative Support Ltd"</f>
        <v>Creative Support Ltd</v>
      </c>
      <c r="J1145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146" spans="1:10" x14ac:dyDescent="0.35">
      <c r="A1146" t="str">
        <f t="shared" si="182"/>
        <v>SEP</v>
      </c>
      <c r="B1146" t="str">
        <f t="shared" si="186"/>
        <v>20</v>
      </c>
      <c r="C1146" t="str">
        <f t="shared" si="187"/>
        <v>2020/21</v>
      </c>
      <c r="D1146" t="str">
        <f>"SS CO 114195"</f>
        <v>SS CO 114195</v>
      </c>
      <c r="E1146" t="str">
        <f t="shared" si="188"/>
        <v>SS</v>
      </c>
      <c r="F1146" t="s">
        <v>25</v>
      </c>
      <c r="G1146" t="s">
        <v>22</v>
      </c>
      <c r="H1146">
        <v>2458.33</v>
      </c>
      <c r="I1146" t="str">
        <f>"Our Place"</f>
        <v>Our Place</v>
      </c>
      <c r="J1146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1147" spans="1:10" x14ac:dyDescent="0.35">
      <c r="A1147" t="str">
        <f t="shared" si="182"/>
        <v>SEP</v>
      </c>
      <c r="B1147" t="str">
        <f t="shared" si="186"/>
        <v>20</v>
      </c>
      <c r="C1147" t="str">
        <f t="shared" si="187"/>
        <v>2020/21</v>
      </c>
      <c r="D1147" t="str">
        <f>"SS CO 114195"</f>
        <v>SS CO 114195</v>
      </c>
      <c r="E1147" t="str">
        <f t="shared" si="188"/>
        <v>SS</v>
      </c>
      <c r="F1147" t="s">
        <v>25</v>
      </c>
      <c r="G1147" t="s">
        <v>22</v>
      </c>
      <c r="H1147">
        <v>2458.33</v>
      </c>
      <c r="I1147" t="str">
        <f>"Our Place"</f>
        <v>Our Place</v>
      </c>
      <c r="J1147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1148" spans="1:10" x14ac:dyDescent="0.35">
      <c r="A1148" t="str">
        <f t="shared" si="182"/>
        <v>SEP</v>
      </c>
      <c r="B1148" t="str">
        <f t="shared" si="186"/>
        <v>20</v>
      </c>
      <c r="C1148" t="str">
        <f t="shared" si="187"/>
        <v>2020/21</v>
      </c>
      <c r="D1148" t="str">
        <f>"SS LD 113194"</f>
        <v>SS LD 113194</v>
      </c>
      <c r="E1148" t="str">
        <f t="shared" si="188"/>
        <v>SS</v>
      </c>
      <c r="F1148" t="s">
        <v>25</v>
      </c>
      <c r="G1148" t="s">
        <v>22</v>
      </c>
      <c r="H1148">
        <v>60000</v>
      </c>
      <c r="I1148" t="str">
        <f>"Calderdale Carers Project"</f>
        <v>Calderdale Carers Project</v>
      </c>
      <c r="J1148" t="str">
        <f>"Calderdale Carers Project SLA (BCF) Voluntary Associations Agency And Contracted Services Carers Support Adult Health &amp; Social Care"</f>
        <v>Calderdale Carers Project SLA (BCF) Voluntary Associations Agency And Contracted Services Carers Support Adult Health &amp; Social Care</v>
      </c>
    </row>
    <row r="1149" spans="1:10" x14ac:dyDescent="0.35">
      <c r="A1149" t="str">
        <f t="shared" ref="A1149:A1181" si="196">"SEP"</f>
        <v>SEP</v>
      </c>
      <c r="B1149" t="str">
        <f t="shared" si="186"/>
        <v>20</v>
      </c>
      <c r="C1149" t="str">
        <f t="shared" si="187"/>
        <v>2020/21</v>
      </c>
      <c r="E1149" t="str">
        <f t="shared" si="188"/>
        <v/>
      </c>
      <c r="F1149" t="s">
        <v>25</v>
      </c>
      <c r="G1149" t="s">
        <v>22</v>
      </c>
      <c r="H1149">
        <v>17698.080000000002</v>
      </c>
      <c r="I1149" t="str">
        <f>"Anchor Trust"</f>
        <v>Anchor Trust</v>
      </c>
      <c r="J1149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1150" spans="1:10" x14ac:dyDescent="0.35">
      <c r="A1150" t="str">
        <f t="shared" si="196"/>
        <v>SEP</v>
      </c>
      <c r="B1150" t="str">
        <f t="shared" si="186"/>
        <v>20</v>
      </c>
      <c r="C1150" t="str">
        <f t="shared" si="187"/>
        <v>2020/21</v>
      </c>
      <c r="E1150" t="str">
        <f t="shared" si="188"/>
        <v/>
      </c>
      <c r="F1150" t="s">
        <v>25</v>
      </c>
      <c r="G1150" t="s">
        <v>22</v>
      </c>
      <c r="H1150">
        <v>10397.08</v>
      </c>
      <c r="I1150" t="str">
        <f>"Anchor Trust"</f>
        <v>Anchor Trust</v>
      </c>
      <c r="J1150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1151" spans="1:10" x14ac:dyDescent="0.35">
      <c r="A1151" t="str">
        <f t="shared" si="196"/>
        <v>SEP</v>
      </c>
      <c r="B1151" t="str">
        <f t="shared" si="186"/>
        <v>20</v>
      </c>
      <c r="C1151" t="str">
        <f t="shared" si="187"/>
        <v>2020/21</v>
      </c>
      <c r="E1151" t="str">
        <f t="shared" si="188"/>
        <v/>
      </c>
      <c r="F1151" t="s">
        <v>25</v>
      </c>
      <c r="G1151" t="s">
        <v>22</v>
      </c>
      <c r="H1151">
        <v>-5811.98</v>
      </c>
      <c r="I1151" t="str">
        <f>"Anchor Trust"</f>
        <v>Anchor Trust</v>
      </c>
      <c r="J1151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1152" spans="1:10" x14ac:dyDescent="0.35">
      <c r="A1152" t="str">
        <f t="shared" si="196"/>
        <v>SEP</v>
      </c>
      <c r="B1152" t="str">
        <f t="shared" si="186"/>
        <v>20</v>
      </c>
      <c r="C1152" t="str">
        <f t="shared" si="187"/>
        <v>2020/21</v>
      </c>
      <c r="E1152" t="str">
        <f t="shared" si="188"/>
        <v/>
      </c>
      <c r="F1152" t="s">
        <v>25</v>
      </c>
      <c r="G1152" t="s">
        <v>22</v>
      </c>
      <c r="H1152">
        <v>-3545.76</v>
      </c>
      <c r="I1152" t="str">
        <f>"Anchor Trust"</f>
        <v>Anchor Trust</v>
      </c>
      <c r="J1152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1153" spans="1:10" x14ac:dyDescent="0.35">
      <c r="A1153" t="str">
        <f t="shared" si="196"/>
        <v>SEP</v>
      </c>
      <c r="B1153" t="str">
        <f t="shared" si="186"/>
        <v>20</v>
      </c>
      <c r="C1153" t="str">
        <f t="shared" si="187"/>
        <v>2020/21</v>
      </c>
      <c r="E1153" t="str">
        <f t="shared" si="188"/>
        <v/>
      </c>
      <c r="F1153" t="s">
        <v>25</v>
      </c>
      <c r="G1153" t="s">
        <v>22</v>
      </c>
      <c r="H1153">
        <v>21957.48</v>
      </c>
      <c r="I1153" t="str">
        <f>"The Mayfield Trust"</f>
        <v>The Mayfield Trust</v>
      </c>
      <c r="J1153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1154" spans="1:10" x14ac:dyDescent="0.35">
      <c r="A1154" t="str">
        <f t="shared" si="196"/>
        <v>SEP</v>
      </c>
      <c r="B1154" t="str">
        <f t="shared" ref="B1154:B1217" si="197">"20"</f>
        <v>20</v>
      </c>
      <c r="C1154" t="str">
        <f t="shared" ref="C1154:C1217" si="198">"2020/21"</f>
        <v>2020/21</v>
      </c>
      <c r="E1154" t="str">
        <f t="shared" ref="E1154:E1217" si="199">LEFT(D1154,2)</f>
        <v/>
      </c>
      <c r="F1154" t="s">
        <v>25</v>
      </c>
      <c r="G1154" t="s">
        <v>22</v>
      </c>
      <c r="H1154">
        <v>2554.12</v>
      </c>
      <c r="I1154" t="str">
        <f>"Bridgewood Trust Ltd"</f>
        <v>Bridgewood Trust Ltd</v>
      </c>
      <c r="J1154" t="str">
        <f t="shared" ref="J1154:J1159" si="200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1155" spans="1:10" x14ac:dyDescent="0.35">
      <c r="A1155" t="str">
        <f t="shared" si="196"/>
        <v>SEP</v>
      </c>
      <c r="B1155" t="str">
        <f t="shared" si="197"/>
        <v>20</v>
      </c>
      <c r="C1155" t="str">
        <f t="shared" si="198"/>
        <v>2020/21</v>
      </c>
      <c r="E1155" t="str">
        <f t="shared" si="199"/>
        <v/>
      </c>
      <c r="F1155" t="s">
        <v>25</v>
      </c>
      <c r="G1155" t="s">
        <v>22</v>
      </c>
      <c r="H1155">
        <v>13424.16</v>
      </c>
      <c r="I1155" t="str">
        <f>"Bridgewood Trust Ltd"</f>
        <v>Bridgewood Trust Ltd</v>
      </c>
      <c r="J1155" t="str">
        <f t="shared" si="200"/>
        <v>Residential Placements (Learning Disabilities)-Voluntary Home Voluntary Associations Agency And Contracted Services Residential &amp; Nursing Placem</v>
      </c>
    </row>
    <row r="1156" spans="1:10" x14ac:dyDescent="0.35">
      <c r="A1156" t="str">
        <f t="shared" si="196"/>
        <v>SEP</v>
      </c>
      <c r="B1156" t="str">
        <f t="shared" si="197"/>
        <v>20</v>
      </c>
      <c r="C1156" t="str">
        <f t="shared" si="198"/>
        <v>2020/21</v>
      </c>
      <c r="E1156" t="str">
        <f t="shared" si="199"/>
        <v/>
      </c>
      <c r="F1156" t="s">
        <v>25</v>
      </c>
      <c r="G1156" t="s">
        <v>22</v>
      </c>
      <c r="H1156">
        <v>1849.96</v>
      </c>
      <c r="I1156" t="str">
        <f>"Bridgewood Trust Ltd"</f>
        <v>Bridgewood Trust Ltd</v>
      </c>
      <c r="J1156" t="str">
        <f t="shared" si="200"/>
        <v>Residential Placements (Learning Disabilities)-Voluntary Home Voluntary Associations Agency And Contracted Services Residential &amp; Nursing Placem</v>
      </c>
    </row>
    <row r="1157" spans="1:10" x14ac:dyDescent="0.35">
      <c r="A1157" t="str">
        <f t="shared" si="196"/>
        <v>SEP</v>
      </c>
      <c r="B1157" t="str">
        <f t="shared" si="197"/>
        <v>20</v>
      </c>
      <c r="C1157" t="str">
        <f t="shared" si="198"/>
        <v>2020/21</v>
      </c>
      <c r="E1157" t="str">
        <f t="shared" si="199"/>
        <v/>
      </c>
      <c r="F1157" t="s">
        <v>25</v>
      </c>
      <c r="G1157" t="s">
        <v>22</v>
      </c>
      <c r="H1157">
        <v>2138.2399999999998</v>
      </c>
      <c r="I1157" t="str">
        <f>"Bridgewood Trust Ltd"</f>
        <v>Bridgewood Trust Ltd</v>
      </c>
      <c r="J1157" t="str">
        <f t="shared" si="200"/>
        <v>Residential Placements (Learning Disabilities)-Voluntary Home Voluntary Associations Agency And Contracted Services Residential &amp; Nursing Placem</v>
      </c>
    </row>
    <row r="1158" spans="1:10" x14ac:dyDescent="0.35">
      <c r="A1158" t="str">
        <f t="shared" si="196"/>
        <v>SEP</v>
      </c>
      <c r="B1158" t="str">
        <f t="shared" si="197"/>
        <v>20</v>
      </c>
      <c r="C1158" t="str">
        <f t="shared" si="198"/>
        <v>2020/21</v>
      </c>
      <c r="E1158" t="str">
        <f t="shared" si="199"/>
        <v/>
      </c>
      <c r="F1158" t="s">
        <v>25</v>
      </c>
      <c r="G1158" t="s">
        <v>22</v>
      </c>
      <c r="H1158">
        <v>27764.48</v>
      </c>
      <c r="I1158" t="str">
        <f>"Bridgewood Trust Ltd"</f>
        <v>Bridgewood Trust Ltd</v>
      </c>
      <c r="J1158" t="str">
        <f t="shared" si="200"/>
        <v>Residential Placements (Learning Disabilities)-Voluntary Home Voluntary Associations Agency And Contracted Services Residential &amp; Nursing Placem</v>
      </c>
    </row>
    <row r="1159" spans="1:10" x14ac:dyDescent="0.35">
      <c r="A1159" t="str">
        <f t="shared" si="196"/>
        <v>SEP</v>
      </c>
      <c r="B1159" t="str">
        <f t="shared" si="197"/>
        <v>20</v>
      </c>
      <c r="C1159" t="str">
        <f t="shared" si="198"/>
        <v>2020/21</v>
      </c>
      <c r="E1159" t="str">
        <f t="shared" si="199"/>
        <v/>
      </c>
      <c r="F1159" t="s">
        <v>25</v>
      </c>
      <c r="G1159" t="s">
        <v>22</v>
      </c>
      <c r="H1159">
        <v>6882.04</v>
      </c>
      <c r="I1159" t="str">
        <f>"The Mayfield Trust"</f>
        <v>The Mayfield Trust</v>
      </c>
      <c r="J1159" t="str">
        <f t="shared" si="200"/>
        <v>Residential Placements (Learning Disabilities)-Voluntary Home Voluntary Associations Agency And Contracted Services Residential &amp; Nursing Placem</v>
      </c>
    </row>
    <row r="1160" spans="1:10" x14ac:dyDescent="0.35">
      <c r="A1160" t="str">
        <f t="shared" si="196"/>
        <v>SEP</v>
      </c>
      <c r="B1160" t="str">
        <f t="shared" si="197"/>
        <v>20</v>
      </c>
      <c r="C1160" t="str">
        <f t="shared" si="198"/>
        <v>2020/21</v>
      </c>
      <c r="E1160" t="str">
        <f t="shared" si="199"/>
        <v/>
      </c>
      <c r="F1160" t="s">
        <v>25</v>
      </c>
      <c r="G1160" t="s">
        <v>22</v>
      </c>
      <c r="H1160">
        <v>6529.68</v>
      </c>
      <c r="I1160" t="str">
        <f>"Henshaws Society For Blind People re Red Admiral"</f>
        <v>Henshaws Society For Blind People re Red Admiral</v>
      </c>
      <c r="J1160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1161" spans="1:10" x14ac:dyDescent="0.35">
      <c r="A1161" t="str">
        <f t="shared" si="196"/>
        <v>SEP</v>
      </c>
      <c r="B1161" t="str">
        <f t="shared" si="197"/>
        <v>20</v>
      </c>
      <c r="C1161" t="str">
        <f t="shared" si="198"/>
        <v>2020/21</v>
      </c>
      <c r="E1161" t="str">
        <f t="shared" si="199"/>
        <v/>
      </c>
      <c r="F1161" t="s">
        <v>25</v>
      </c>
      <c r="G1161" t="s">
        <v>22</v>
      </c>
      <c r="H1161">
        <v>-1269</v>
      </c>
      <c r="I1161" t="str">
        <f>"The Mayfield Trust"</f>
        <v>The Mayfield Trust</v>
      </c>
      <c r="J1161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1162" spans="1:10" x14ac:dyDescent="0.35">
      <c r="A1162" t="str">
        <f t="shared" si="196"/>
        <v>SEP</v>
      </c>
      <c r="B1162" t="str">
        <f t="shared" si="197"/>
        <v>20</v>
      </c>
      <c r="C1162" t="str">
        <f t="shared" si="198"/>
        <v>2020/21</v>
      </c>
      <c r="E1162" t="str">
        <f t="shared" si="199"/>
        <v/>
      </c>
      <c r="F1162" t="s">
        <v>25</v>
      </c>
      <c r="G1162" t="s">
        <v>22</v>
      </c>
      <c r="H1162">
        <v>-423</v>
      </c>
      <c r="I1162" t="str">
        <f>"Bridgewood Trust Ltd"</f>
        <v>Bridgewood Trust Ltd</v>
      </c>
      <c r="J1162" t="str">
        <f t="shared" ref="J1162:J1168" si="201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1163" spans="1:10" x14ac:dyDescent="0.35">
      <c r="A1163" t="str">
        <f t="shared" si="196"/>
        <v>SEP</v>
      </c>
      <c r="B1163" t="str">
        <f t="shared" si="197"/>
        <v>20</v>
      </c>
      <c r="C1163" t="str">
        <f t="shared" si="198"/>
        <v>2020/21</v>
      </c>
      <c r="E1163" t="str">
        <f t="shared" si="199"/>
        <v/>
      </c>
      <c r="F1163" t="s">
        <v>25</v>
      </c>
      <c r="G1163" t="s">
        <v>22</v>
      </c>
      <c r="H1163">
        <v>-1692</v>
      </c>
      <c r="I1163" t="str">
        <f>"Bridgewood Trust Ltd"</f>
        <v>Bridgewood Trust Ltd</v>
      </c>
      <c r="J1163" t="str">
        <f t="shared" si="201"/>
        <v>Residential - Income Residential Placements Customer And Client Receipts Income Residential &amp; Nursing Placements (Learning Dis) Adult Health &amp; S</v>
      </c>
    </row>
    <row r="1164" spans="1:10" x14ac:dyDescent="0.35">
      <c r="A1164" t="str">
        <f t="shared" si="196"/>
        <v>SEP</v>
      </c>
      <c r="B1164" t="str">
        <f t="shared" si="197"/>
        <v>20</v>
      </c>
      <c r="C1164" t="str">
        <f t="shared" si="198"/>
        <v>2020/21</v>
      </c>
      <c r="E1164" t="str">
        <f t="shared" si="199"/>
        <v/>
      </c>
      <c r="F1164" t="s">
        <v>25</v>
      </c>
      <c r="G1164" t="s">
        <v>22</v>
      </c>
      <c r="H1164">
        <v>-595.4</v>
      </c>
      <c r="I1164" t="str">
        <f>"Bridgewood Trust Ltd"</f>
        <v>Bridgewood Trust Ltd</v>
      </c>
      <c r="J1164" t="str">
        <f t="shared" si="201"/>
        <v>Residential - Income Residential Placements Customer And Client Receipts Income Residential &amp; Nursing Placements (Learning Dis) Adult Health &amp; S</v>
      </c>
    </row>
    <row r="1165" spans="1:10" x14ac:dyDescent="0.35">
      <c r="A1165" t="str">
        <f t="shared" si="196"/>
        <v>SEP</v>
      </c>
      <c r="B1165" t="str">
        <f t="shared" si="197"/>
        <v>20</v>
      </c>
      <c r="C1165" t="str">
        <f t="shared" si="198"/>
        <v>2020/21</v>
      </c>
      <c r="E1165" t="str">
        <f t="shared" si="199"/>
        <v/>
      </c>
      <c r="F1165" t="s">
        <v>25</v>
      </c>
      <c r="G1165" t="s">
        <v>22</v>
      </c>
      <c r="H1165">
        <v>-423</v>
      </c>
      <c r="I1165" t="str">
        <f>"Bridgewood Trust Ltd"</f>
        <v>Bridgewood Trust Ltd</v>
      </c>
      <c r="J1165" t="str">
        <f t="shared" si="201"/>
        <v>Residential - Income Residential Placements Customer And Client Receipts Income Residential &amp; Nursing Placements (Learning Dis) Adult Health &amp; S</v>
      </c>
    </row>
    <row r="1166" spans="1:10" x14ac:dyDescent="0.35">
      <c r="A1166" t="str">
        <f t="shared" si="196"/>
        <v>SEP</v>
      </c>
      <c r="B1166" t="str">
        <f t="shared" si="197"/>
        <v>20</v>
      </c>
      <c r="C1166" t="str">
        <f t="shared" si="198"/>
        <v>2020/21</v>
      </c>
      <c r="E1166" t="str">
        <f t="shared" si="199"/>
        <v/>
      </c>
      <c r="F1166" t="s">
        <v>25</v>
      </c>
      <c r="G1166" t="s">
        <v>22</v>
      </c>
      <c r="H1166">
        <v>-4483.72</v>
      </c>
      <c r="I1166" t="str">
        <f>"Bridgewood Trust Ltd"</f>
        <v>Bridgewood Trust Ltd</v>
      </c>
      <c r="J1166" t="str">
        <f t="shared" si="201"/>
        <v>Residential - Income Residential Placements Customer And Client Receipts Income Residential &amp; Nursing Placements (Learning Dis) Adult Health &amp; S</v>
      </c>
    </row>
    <row r="1167" spans="1:10" x14ac:dyDescent="0.35">
      <c r="A1167" t="str">
        <f t="shared" si="196"/>
        <v>SEP</v>
      </c>
      <c r="B1167" t="str">
        <f t="shared" si="197"/>
        <v>20</v>
      </c>
      <c r="C1167" t="str">
        <f t="shared" si="198"/>
        <v>2020/21</v>
      </c>
      <c r="E1167" t="str">
        <f t="shared" si="199"/>
        <v/>
      </c>
      <c r="F1167" t="s">
        <v>25</v>
      </c>
      <c r="G1167" t="s">
        <v>22</v>
      </c>
      <c r="H1167">
        <v>-459</v>
      </c>
      <c r="I1167" t="str">
        <f>"The Mayfield Trust"</f>
        <v>The Mayfield Trust</v>
      </c>
      <c r="J1167" t="str">
        <f t="shared" si="201"/>
        <v>Residential - Income Residential Placements Customer And Client Receipts Income Residential &amp; Nursing Placements (Learning Dis) Adult Health &amp; S</v>
      </c>
    </row>
    <row r="1168" spans="1:10" x14ac:dyDescent="0.35">
      <c r="A1168" t="str">
        <f t="shared" si="196"/>
        <v>SEP</v>
      </c>
      <c r="B1168" t="str">
        <f t="shared" si="197"/>
        <v>20</v>
      </c>
      <c r="C1168" t="str">
        <f t="shared" si="198"/>
        <v>2020/21</v>
      </c>
      <c r="E1168" t="str">
        <f t="shared" si="199"/>
        <v/>
      </c>
      <c r="F1168" t="s">
        <v>25</v>
      </c>
      <c r="G1168" t="s">
        <v>22</v>
      </c>
      <c r="H1168">
        <v>-423</v>
      </c>
      <c r="I1168" t="str">
        <f>"Henshaws Society For Blind People re Red Admiral"</f>
        <v>Henshaws Society For Blind People re Red Admiral</v>
      </c>
      <c r="J1168" t="str">
        <f t="shared" si="201"/>
        <v>Residential - Income Residential Placements Customer And Client Receipts Income Residential &amp; Nursing Placements (Learning Dis) Adult Health &amp; S</v>
      </c>
    </row>
    <row r="1169" spans="1:10" x14ac:dyDescent="0.35">
      <c r="A1169" t="str">
        <f t="shared" si="196"/>
        <v>SEP</v>
      </c>
      <c r="B1169" t="str">
        <f t="shared" si="197"/>
        <v>20</v>
      </c>
      <c r="C1169" t="str">
        <f t="shared" si="198"/>
        <v>2020/21</v>
      </c>
      <c r="D1169" t="str">
        <f>"SS CO 113449"</f>
        <v>SS CO 113449</v>
      </c>
      <c r="E1169" t="str">
        <f t="shared" si="199"/>
        <v>SS</v>
      </c>
      <c r="F1169" t="s">
        <v>25</v>
      </c>
      <c r="G1169" t="s">
        <v>22</v>
      </c>
      <c r="H1169">
        <v>21247.5</v>
      </c>
      <c r="I1169" t="str">
        <f>"Voluntary Action Calderdale"</f>
        <v>Voluntary Action Calderdale</v>
      </c>
      <c r="J1169" t="str">
        <f>"Bill and Molly Scheme (iBCF) Services Supplies And Services Older People Commissioning Budget Adult Health &amp; Social Care"</f>
        <v>Bill and Molly Scheme (iBCF) Services Supplies And Services Older People Commissioning Budget Adult Health &amp; Social Care</v>
      </c>
    </row>
    <row r="1170" spans="1:10" x14ac:dyDescent="0.35">
      <c r="A1170" t="str">
        <f t="shared" si="196"/>
        <v>SEP</v>
      </c>
      <c r="B1170" t="str">
        <f t="shared" si="197"/>
        <v>20</v>
      </c>
      <c r="C1170" t="str">
        <f t="shared" si="198"/>
        <v>2020/21</v>
      </c>
      <c r="D1170" t="str">
        <f>"SS CO 113850"</f>
        <v>SS CO 113850</v>
      </c>
      <c r="E1170" t="str">
        <f t="shared" si="199"/>
        <v>SS</v>
      </c>
      <c r="F1170" t="s">
        <v>25</v>
      </c>
      <c r="G1170" t="s">
        <v>22</v>
      </c>
      <c r="H1170">
        <v>18016.669999999998</v>
      </c>
      <c r="I1170" t="str">
        <f>"Cloverleaf Advocacy 2000 Ltd"</f>
        <v>Cloverleaf Advocacy 2000 Ltd</v>
      </c>
      <c r="J1170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1171" spans="1:10" x14ac:dyDescent="0.35">
      <c r="A1171" t="str">
        <f t="shared" si="196"/>
        <v>SEP</v>
      </c>
      <c r="B1171" t="str">
        <f t="shared" si="197"/>
        <v>20</v>
      </c>
      <c r="C1171" t="str">
        <f t="shared" si="198"/>
        <v>2020/21</v>
      </c>
      <c r="D1171" t="str">
        <f>"SS CO 113368"</f>
        <v>SS CO 113368</v>
      </c>
      <c r="E1171" t="str">
        <f t="shared" si="199"/>
        <v>SS</v>
      </c>
      <c r="F1171" t="s">
        <v>25</v>
      </c>
      <c r="G1171" t="s">
        <v>22</v>
      </c>
      <c r="H1171">
        <v>783.69</v>
      </c>
      <c r="I1171" t="str">
        <f>"Anchor Trust"</f>
        <v>Anchor Trust</v>
      </c>
      <c r="J1171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172" spans="1:10" x14ac:dyDescent="0.35">
      <c r="A1172" t="str">
        <f t="shared" si="196"/>
        <v>SEP</v>
      </c>
      <c r="B1172" t="str">
        <f t="shared" si="197"/>
        <v>20</v>
      </c>
      <c r="C1172" t="str">
        <f t="shared" si="198"/>
        <v>2020/21</v>
      </c>
      <c r="D1172" t="str">
        <f>"SS CO 113368"</f>
        <v>SS CO 113368</v>
      </c>
      <c r="E1172" t="str">
        <f t="shared" si="199"/>
        <v>SS</v>
      </c>
      <c r="F1172" t="s">
        <v>25</v>
      </c>
      <c r="G1172" t="s">
        <v>22</v>
      </c>
      <c r="H1172">
        <v>234.68</v>
      </c>
      <c r="I1172" t="str">
        <f>"Anchor Trust"</f>
        <v>Anchor Trust</v>
      </c>
      <c r="J1172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173" spans="1:10" x14ac:dyDescent="0.35">
      <c r="A1173" t="str">
        <f t="shared" si="196"/>
        <v>SEP</v>
      </c>
      <c r="B1173" t="str">
        <f t="shared" si="197"/>
        <v>20</v>
      </c>
      <c r="C1173" t="str">
        <f t="shared" si="198"/>
        <v>2020/21</v>
      </c>
      <c r="D1173" t="str">
        <f>"SS CO 113368"</f>
        <v>SS CO 113368</v>
      </c>
      <c r="E1173" t="str">
        <f t="shared" si="199"/>
        <v>SS</v>
      </c>
      <c r="F1173" t="s">
        <v>25</v>
      </c>
      <c r="G1173" t="s">
        <v>22</v>
      </c>
      <c r="H1173">
        <v>1510.28</v>
      </c>
      <c r="I1173" t="str">
        <f>"Anchor Trust"</f>
        <v>Anchor Trust</v>
      </c>
      <c r="J1173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174" spans="1:10" x14ac:dyDescent="0.35">
      <c r="A1174" t="str">
        <f t="shared" si="196"/>
        <v>SEP</v>
      </c>
      <c r="B1174" t="str">
        <f t="shared" si="197"/>
        <v>20</v>
      </c>
      <c r="C1174" t="str">
        <f t="shared" si="198"/>
        <v>2020/21</v>
      </c>
      <c r="D1174" t="str">
        <f>"SS CO 113368"</f>
        <v>SS CO 113368</v>
      </c>
      <c r="E1174" t="str">
        <f t="shared" si="199"/>
        <v>SS</v>
      </c>
      <c r="F1174" t="s">
        <v>25</v>
      </c>
      <c r="G1174" t="s">
        <v>22</v>
      </c>
      <c r="H1174">
        <v>11912</v>
      </c>
      <c r="I1174" t="str">
        <f>"Anchor Trust"</f>
        <v>Anchor Trust</v>
      </c>
      <c r="J1174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175" spans="1:10" x14ac:dyDescent="0.35">
      <c r="A1175" t="str">
        <f t="shared" si="196"/>
        <v>SEP</v>
      </c>
      <c r="B1175" t="str">
        <f t="shared" si="197"/>
        <v>20</v>
      </c>
      <c r="C1175" t="str">
        <f t="shared" si="198"/>
        <v>2020/21</v>
      </c>
      <c r="D1175" t="str">
        <f>"SS CO 113368"</f>
        <v>SS CO 113368</v>
      </c>
      <c r="E1175" t="str">
        <f t="shared" si="199"/>
        <v>SS</v>
      </c>
      <c r="F1175" t="s">
        <v>25</v>
      </c>
      <c r="G1175" t="s">
        <v>22</v>
      </c>
      <c r="H1175">
        <v>1489</v>
      </c>
      <c r="I1175" t="str">
        <f>"Anchor Trust"</f>
        <v>Anchor Trust</v>
      </c>
      <c r="J1175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176" spans="1:10" x14ac:dyDescent="0.35">
      <c r="A1176" t="str">
        <f t="shared" si="196"/>
        <v>SEP</v>
      </c>
      <c r="B1176" t="str">
        <f t="shared" si="197"/>
        <v>20</v>
      </c>
      <c r="C1176" t="str">
        <f t="shared" si="198"/>
        <v>2020/21</v>
      </c>
      <c r="D1176" t="str">
        <f>"SS AD 115537"</f>
        <v>SS AD 115537</v>
      </c>
      <c r="E1176" t="str">
        <f t="shared" si="199"/>
        <v>SS</v>
      </c>
      <c r="F1176" t="s">
        <v>25</v>
      </c>
      <c r="G1176" t="s">
        <v>22</v>
      </c>
      <c r="H1176">
        <v>8000</v>
      </c>
      <c r="I1176" t="str">
        <f>"Possabilities CIC"</f>
        <v>Possabilities CIC</v>
      </c>
      <c r="J1176" t="str">
        <f>"Furniture &amp; Fittings - Supp Living Accomodation Equipment Furniture And Materials Supplies And Services LD Commissioning Budget Adult Health &amp; S"</f>
        <v>Furniture &amp; Fittings - Supp Living Accomodation Equipment Furniture And Materials Supplies And Services LD Commissioning Budget Adult Health &amp; S</v>
      </c>
    </row>
    <row r="1177" spans="1:10" x14ac:dyDescent="0.35">
      <c r="A1177" t="str">
        <f t="shared" si="196"/>
        <v>SEP</v>
      </c>
      <c r="B1177" t="str">
        <f t="shared" si="197"/>
        <v>20</v>
      </c>
      <c r="C1177" t="str">
        <f t="shared" si="198"/>
        <v>2020/21</v>
      </c>
      <c r="D1177" t="str">
        <f>"SS CO 113367"</f>
        <v>SS CO 113367</v>
      </c>
      <c r="E1177" t="str">
        <f t="shared" si="199"/>
        <v>SS</v>
      </c>
      <c r="F1177" t="s">
        <v>25</v>
      </c>
      <c r="G1177" t="s">
        <v>22</v>
      </c>
      <c r="H1177">
        <v>5708.2</v>
      </c>
      <c r="I1177" t="str">
        <f>"Cloverleaf Advocacy 2000 Ltd"</f>
        <v>Cloverleaf Advocacy 2000 Ltd</v>
      </c>
      <c r="J1177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1178" spans="1:10" x14ac:dyDescent="0.35">
      <c r="A1178" t="str">
        <f t="shared" si="196"/>
        <v>SEP</v>
      </c>
      <c r="B1178" t="str">
        <f t="shared" si="197"/>
        <v>20</v>
      </c>
      <c r="C1178" t="str">
        <f t="shared" si="198"/>
        <v>2020/21</v>
      </c>
      <c r="D1178" t="str">
        <f>"LS TE 205812"</f>
        <v>LS TE 205812</v>
      </c>
      <c r="E1178" t="str">
        <f t="shared" si="199"/>
        <v>LS</v>
      </c>
      <c r="F1178" t="s">
        <v>35</v>
      </c>
      <c r="G1178" t="s">
        <v>14</v>
      </c>
      <c r="H1178">
        <v>750</v>
      </c>
      <c r="I1178" t="str">
        <f>"Fields In Trust"</f>
        <v>Fields In Trust</v>
      </c>
      <c r="J1178" t="str">
        <f>"Land Registry Fees Services Supplies And Services Technical Support Green Space and Street Scene"</f>
        <v>Land Registry Fees Services Supplies And Services Technical Support Green Space and Street Scene</v>
      </c>
    </row>
    <row r="1179" spans="1:10" x14ac:dyDescent="0.35">
      <c r="A1179" t="str">
        <f t="shared" si="196"/>
        <v>SEP</v>
      </c>
      <c r="B1179" t="str">
        <f t="shared" si="197"/>
        <v>20</v>
      </c>
      <c r="C1179" t="str">
        <f t="shared" si="198"/>
        <v>2020/21</v>
      </c>
      <c r="D1179" t="str">
        <f>"LS HO 205596"</f>
        <v>LS HO 205596</v>
      </c>
      <c r="E1179" t="str">
        <f t="shared" si="199"/>
        <v>LS</v>
      </c>
      <c r="F1179" t="s">
        <v>35</v>
      </c>
      <c r="G1179" t="s">
        <v>14</v>
      </c>
      <c r="H1179">
        <v>249</v>
      </c>
      <c r="I1179" t="str">
        <f>"APSE"</f>
        <v>APSE</v>
      </c>
      <c r="J1179" t="str">
        <f>"Training Expenses - Course Fees Expenses Employees And Related Expenses Highway Operations Green Space and Street Scene"</f>
        <v>Training Expenses - Course Fees Expenses Employees And Related Expenses Highway Operations Green Space and Street Scene</v>
      </c>
    </row>
    <row r="1180" spans="1:10" x14ac:dyDescent="0.35">
      <c r="A1180" t="str">
        <f t="shared" si="196"/>
        <v>SEP</v>
      </c>
      <c r="B1180" t="str">
        <f t="shared" si="197"/>
        <v>20</v>
      </c>
      <c r="C1180" t="str">
        <f t="shared" si="198"/>
        <v>2020/21</v>
      </c>
      <c r="D1180" t="str">
        <f>"LS HO 205707"</f>
        <v>LS HO 205707</v>
      </c>
      <c r="E1180" t="str">
        <f t="shared" si="199"/>
        <v>LS</v>
      </c>
      <c r="F1180" t="s">
        <v>35</v>
      </c>
      <c r="G1180" t="s">
        <v>14</v>
      </c>
      <c r="H1180">
        <v>169</v>
      </c>
      <c r="I1180" t="str">
        <f>"APSE"</f>
        <v>APSE</v>
      </c>
      <c r="J1180" t="str">
        <f>"Training Expenses - Course Fees Expenses Employees And Related Expenses Highway Operations Green Space and Street Scene"</f>
        <v>Training Expenses - Course Fees Expenses Employees And Related Expenses Highway Operations Green Space and Street Scene</v>
      </c>
    </row>
    <row r="1181" spans="1:10" x14ac:dyDescent="0.35">
      <c r="A1181" t="str">
        <f t="shared" si="196"/>
        <v>SEP</v>
      </c>
      <c r="B1181" t="str">
        <f t="shared" si="197"/>
        <v>20</v>
      </c>
      <c r="C1181" t="str">
        <f t="shared" si="198"/>
        <v>2020/21</v>
      </c>
      <c r="D1181" t="str">
        <f>"LS HO 205785"</f>
        <v>LS HO 205785</v>
      </c>
      <c r="E1181" t="str">
        <f t="shared" si="199"/>
        <v>LS</v>
      </c>
      <c r="F1181" t="s">
        <v>35</v>
      </c>
      <c r="G1181" t="s">
        <v>14</v>
      </c>
      <c r="H1181">
        <v>50</v>
      </c>
      <c r="I1181" t="str">
        <f>"Canal &amp; River Trust (British Waterways)"</f>
        <v>Canal &amp; River Trust (British Waterways)</v>
      </c>
      <c r="J1181" t="str">
        <f>"Equipment Tools &amp; Materials - General Equipment Furniture And Materials Supplies And Services Highway Operations Green Space and Street Scene"</f>
        <v>Equipment Tools &amp; Materials - General Equipment Furniture And Materials Supplies And Services Highway Operations Green Space and Street Scene</v>
      </c>
    </row>
    <row r="1182" spans="1:10" x14ac:dyDescent="0.35">
      <c r="A1182" t="str">
        <f t="shared" ref="A1182:A1245" si="202">"OCT"</f>
        <v>OCT</v>
      </c>
      <c r="B1182" t="str">
        <f t="shared" si="197"/>
        <v>20</v>
      </c>
      <c r="C1182" t="str">
        <f t="shared" si="198"/>
        <v>2020/21</v>
      </c>
      <c r="D1182" t="str">
        <f>"LS NE 205982"</f>
        <v>LS NE 205982</v>
      </c>
      <c r="E1182" t="str">
        <f t="shared" si="199"/>
        <v>LS</v>
      </c>
      <c r="F1182" t="s">
        <v>13</v>
      </c>
      <c r="G1182" t="s">
        <v>14</v>
      </c>
      <c r="H1182">
        <v>500</v>
      </c>
      <c r="I1182" t="str">
        <f>"PCC of Christ Church Sowerby Bridge"</f>
        <v>PCC of Christ Church Sowerby Bridge</v>
      </c>
      <c r="J1182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1183" spans="1:10" x14ac:dyDescent="0.35">
      <c r="A1183" t="str">
        <f t="shared" si="202"/>
        <v>OCT</v>
      </c>
      <c r="B1183" t="str">
        <f t="shared" si="197"/>
        <v>20</v>
      </c>
      <c r="C1183" t="str">
        <f t="shared" si="198"/>
        <v>2020/21</v>
      </c>
      <c r="D1183" t="str">
        <f>"LS NE 206159"</f>
        <v>LS NE 206159</v>
      </c>
      <c r="E1183" t="str">
        <f t="shared" si="199"/>
        <v>LS</v>
      </c>
      <c r="F1183" t="s">
        <v>13</v>
      </c>
      <c r="G1183" t="s">
        <v>14</v>
      </c>
      <c r="H1183">
        <v>415</v>
      </c>
      <c r="I1183" t="str">
        <f>"Rishworth Environment Group"</f>
        <v>Rishworth Environment Group</v>
      </c>
      <c r="J1183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1184" spans="1:10" x14ac:dyDescent="0.35">
      <c r="A1184" t="str">
        <f t="shared" si="202"/>
        <v>OCT</v>
      </c>
      <c r="B1184" t="str">
        <f t="shared" si="197"/>
        <v>20</v>
      </c>
      <c r="C1184" t="str">
        <f t="shared" si="198"/>
        <v>2020/21</v>
      </c>
      <c r="D1184" t="str">
        <f>"LS NE 205991"</f>
        <v>LS NE 205991</v>
      </c>
      <c r="E1184" t="str">
        <f t="shared" si="199"/>
        <v>LS</v>
      </c>
      <c r="F1184" t="s">
        <v>13</v>
      </c>
      <c r="G1184" t="s">
        <v>14</v>
      </c>
      <c r="H1184">
        <v>37877.56</v>
      </c>
      <c r="I1184" t="str">
        <f>"North Halifax Partnership Ltd"</f>
        <v>North Halifax Partnership Ltd</v>
      </c>
      <c r="J1184" t="str">
        <f>"North Halifax Partnership Grants And Subscriptions Supplies And Services Neighbourhood Working Community Safety &amp; Support"</f>
        <v>North Halifax Partnership Grants And Subscriptions Supplies And Services Neighbourhood Working Community Safety &amp; Support</v>
      </c>
    </row>
    <row r="1185" spans="1:10" x14ac:dyDescent="0.35">
      <c r="A1185" t="str">
        <f t="shared" si="202"/>
        <v>OCT</v>
      </c>
      <c r="B1185" t="str">
        <f t="shared" si="197"/>
        <v>20</v>
      </c>
      <c r="C1185" t="str">
        <f t="shared" si="198"/>
        <v>2020/21</v>
      </c>
      <c r="D1185" t="str">
        <f>"LS MU 206167"</f>
        <v>LS MU 206167</v>
      </c>
      <c r="E1185" t="str">
        <f t="shared" si="199"/>
        <v>LS</v>
      </c>
      <c r="F1185" t="s">
        <v>16</v>
      </c>
      <c r="G1185" t="s">
        <v>14</v>
      </c>
      <c r="H1185">
        <v>59250</v>
      </c>
      <c r="I1185" t="str">
        <f>"The Piece Hall Trust"</f>
        <v>The Piece Hall Trust</v>
      </c>
      <c r="J1185" t="str">
        <f>"Miscellaneous General Miscellaneous Expenses Supplies And Services Piece Hall Museums &amp; Arts"</f>
        <v>Miscellaneous General Miscellaneous Expenses Supplies And Services Piece Hall Museums &amp; Arts</v>
      </c>
    </row>
    <row r="1186" spans="1:10" x14ac:dyDescent="0.35">
      <c r="A1186" t="str">
        <f t="shared" si="202"/>
        <v>OCT</v>
      </c>
      <c r="B1186" t="str">
        <f t="shared" si="197"/>
        <v>20</v>
      </c>
      <c r="C1186" t="str">
        <f t="shared" si="198"/>
        <v>2020/21</v>
      </c>
      <c r="D1186" t="str">
        <f>"LS MU 206167"</f>
        <v>LS MU 206167</v>
      </c>
      <c r="E1186" t="str">
        <f t="shared" si="199"/>
        <v>LS</v>
      </c>
      <c r="F1186" t="s">
        <v>16</v>
      </c>
      <c r="G1186" t="s">
        <v>14</v>
      </c>
      <c r="H1186">
        <v>87500</v>
      </c>
      <c r="I1186" t="str">
        <f>"The Piece Hall Trust"</f>
        <v>The Piece Hall Trust</v>
      </c>
      <c r="J1186" t="str">
        <f>"Miscellaneous General Miscellaneous Expenses Supplies And Services Piece Hall Museums &amp; Arts"</f>
        <v>Miscellaneous General Miscellaneous Expenses Supplies And Services Piece Hall Museums &amp; Arts</v>
      </c>
    </row>
    <row r="1187" spans="1:10" x14ac:dyDescent="0.35">
      <c r="A1187" t="str">
        <f t="shared" si="202"/>
        <v>OCT</v>
      </c>
      <c r="B1187" t="str">
        <f t="shared" si="197"/>
        <v>20</v>
      </c>
      <c r="C1187" t="str">
        <f t="shared" si="198"/>
        <v>2020/21</v>
      </c>
      <c r="D1187" t="str">
        <f>"LS GV 205989"</f>
        <v>LS GV 205989</v>
      </c>
      <c r="E1187" t="str">
        <f t="shared" si="199"/>
        <v>LS</v>
      </c>
      <c r="F1187" t="s">
        <v>17</v>
      </c>
      <c r="G1187" t="s">
        <v>18</v>
      </c>
      <c r="H1187">
        <v>73750</v>
      </c>
      <c r="I1187" t="str">
        <f>"Calderdale Citizens Advice Bureau"</f>
        <v>Calderdale Citizens Advice Bureau</v>
      </c>
      <c r="J1187" t="str">
        <f>"A&amp;I Contract - Calderdale Citizens Advice Bureau Grants And Subscriptions Supplies And Services Policy and Voluntary Sector Economy and Investme"</f>
        <v>A&amp;I Contract - Calderdale Citizens Advice Bureau Grants And Subscriptions Supplies And Services Policy and Voluntary Sector Economy and Investme</v>
      </c>
    </row>
    <row r="1188" spans="1:10" x14ac:dyDescent="0.35">
      <c r="A1188" t="str">
        <f t="shared" si="202"/>
        <v>OCT</v>
      </c>
      <c r="B1188" t="str">
        <f t="shared" si="197"/>
        <v>20</v>
      </c>
      <c r="C1188" t="str">
        <f t="shared" si="198"/>
        <v>2020/21</v>
      </c>
      <c r="D1188" t="str">
        <f>"LS GV 205987"</f>
        <v>LS GV 205987</v>
      </c>
      <c r="E1188" t="str">
        <f t="shared" si="199"/>
        <v>LS</v>
      </c>
      <c r="F1188" t="s">
        <v>17</v>
      </c>
      <c r="G1188" t="s">
        <v>18</v>
      </c>
      <c r="H1188">
        <v>3515</v>
      </c>
      <c r="I1188" t="str">
        <f>"Calderdale Citizens Advice Bureau"</f>
        <v>Calderdale Citizens Advice Bureau</v>
      </c>
      <c r="J1188" t="str">
        <f>"A&amp;I Grant - Calderdale Citizens Advice Bureau Grants And Subscriptions Supplies And Services Policy and Voluntary Sector Economy and Investment"</f>
        <v>A&amp;I Grant - Calderdale Citizens Advice Bureau Grants And Subscriptions Supplies And Services Policy and Voluntary Sector Economy and Investment</v>
      </c>
    </row>
    <row r="1189" spans="1:10" x14ac:dyDescent="0.35">
      <c r="A1189" t="str">
        <f t="shared" si="202"/>
        <v>OCT</v>
      </c>
      <c r="B1189" t="str">
        <f t="shared" si="197"/>
        <v>20</v>
      </c>
      <c r="C1189" t="str">
        <f t="shared" si="198"/>
        <v>2020/21</v>
      </c>
      <c r="D1189" t="str">
        <f>"LS GV 205016"</f>
        <v>LS GV 205016</v>
      </c>
      <c r="E1189" t="str">
        <f t="shared" si="199"/>
        <v>LS</v>
      </c>
      <c r="F1189" t="s">
        <v>17</v>
      </c>
      <c r="G1189" t="s">
        <v>18</v>
      </c>
      <c r="H1189">
        <v>21250</v>
      </c>
      <c r="I1189" t="str">
        <f>"Voluntary Action Calderdale"</f>
        <v>Voluntary Action Calderdale</v>
      </c>
      <c r="J1189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190" spans="1:10" x14ac:dyDescent="0.35">
      <c r="A1190" t="str">
        <f t="shared" si="202"/>
        <v>OCT</v>
      </c>
      <c r="B1190" t="str">
        <f t="shared" si="197"/>
        <v>20</v>
      </c>
      <c r="C1190" t="str">
        <f t="shared" si="198"/>
        <v>2020/21</v>
      </c>
      <c r="D1190" t="str">
        <f>"LS GV 205009"</f>
        <v>LS GV 205009</v>
      </c>
      <c r="E1190" t="str">
        <f t="shared" si="199"/>
        <v>LS</v>
      </c>
      <c r="F1190" t="s">
        <v>17</v>
      </c>
      <c r="G1190" t="s">
        <v>18</v>
      </c>
      <c r="H1190">
        <v>31250</v>
      </c>
      <c r="I1190" t="str">
        <f>"North Bank Forum for Voluntary Organisations Ltd"</f>
        <v>North Bank Forum for Voluntary Organisations Ltd</v>
      </c>
      <c r="J1190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191" spans="1:10" x14ac:dyDescent="0.35">
      <c r="A1191" t="str">
        <f t="shared" si="202"/>
        <v>OCT</v>
      </c>
      <c r="B1191" t="str">
        <f t="shared" si="197"/>
        <v>20</v>
      </c>
      <c r="C1191" t="str">
        <f t="shared" si="198"/>
        <v>2020/21</v>
      </c>
      <c r="D1191" t="str">
        <f>"LS GV 205017"</f>
        <v>LS GV 205017</v>
      </c>
      <c r="E1191" t="str">
        <f t="shared" si="199"/>
        <v>LS</v>
      </c>
      <c r="F1191" t="s">
        <v>17</v>
      </c>
      <c r="G1191" t="s">
        <v>18</v>
      </c>
      <c r="H1191">
        <v>3750</v>
      </c>
      <c r="I1191" t="str">
        <f>"West Yorkshire Community Accounting Service"</f>
        <v>West Yorkshire Community Accounting Service</v>
      </c>
      <c r="J1191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192" spans="1:10" x14ac:dyDescent="0.35">
      <c r="A1192" t="str">
        <f t="shared" si="202"/>
        <v>OCT</v>
      </c>
      <c r="B1192" t="str">
        <f t="shared" si="197"/>
        <v>20</v>
      </c>
      <c r="C1192" t="str">
        <f t="shared" si="198"/>
        <v>2020/21</v>
      </c>
      <c r="D1192" t="str">
        <f>"LS GV 205988"</f>
        <v>LS GV 205988</v>
      </c>
      <c r="E1192" t="str">
        <f t="shared" si="199"/>
        <v>LS</v>
      </c>
      <c r="F1192" t="s">
        <v>17</v>
      </c>
      <c r="G1192" t="s">
        <v>18</v>
      </c>
      <c r="H1192">
        <v>6069.5</v>
      </c>
      <c r="I1192" t="str">
        <f>"Disability Advice Resource Team (DART)"</f>
        <v>Disability Advice Resource Team (DART)</v>
      </c>
      <c r="J1192" t="str">
        <f>"A&amp;I Grant - D.A.R.T Grants And Subscriptions Supplies And Services Policy and Voluntary Sector Economy and Investment"</f>
        <v>A&amp;I Grant - D.A.R.T Grants And Subscriptions Supplies And Services Policy and Voluntary Sector Economy and Investment</v>
      </c>
    </row>
    <row r="1193" spans="1:10" x14ac:dyDescent="0.35">
      <c r="A1193" t="str">
        <f t="shared" si="202"/>
        <v>OCT</v>
      </c>
      <c r="B1193" t="str">
        <f t="shared" si="197"/>
        <v>20</v>
      </c>
      <c r="C1193" t="str">
        <f t="shared" si="198"/>
        <v>2020/21</v>
      </c>
      <c r="D1193" t="str">
        <f>"LS GV 205990"</f>
        <v>LS GV 205990</v>
      </c>
      <c r="E1193" t="str">
        <f t="shared" si="199"/>
        <v>LS</v>
      </c>
      <c r="F1193" t="s">
        <v>17</v>
      </c>
      <c r="G1193" t="s">
        <v>18</v>
      </c>
      <c r="H1193">
        <v>33125</v>
      </c>
      <c r="I1193" t="str">
        <f>"Healthwatch Kirklees"</f>
        <v>Healthwatch Kirklees</v>
      </c>
      <c r="J1193" t="str">
        <f>"LHW - Local Healthwatch / ICAS Delivery Grants Grants And Subscriptions Supplies And Services Policy and Voluntary Sector Economy and Investment"</f>
        <v>LHW - Local Healthwatch / ICAS Delivery Grants Grants And Subscriptions Supplies And Services Policy and Voluntary Sector Economy and Investment</v>
      </c>
    </row>
    <row r="1194" spans="1:10" x14ac:dyDescent="0.35">
      <c r="A1194" t="str">
        <f t="shared" si="202"/>
        <v>OCT</v>
      </c>
      <c r="B1194" t="str">
        <f t="shared" si="197"/>
        <v>20</v>
      </c>
      <c r="C1194" t="str">
        <f t="shared" si="198"/>
        <v>2020/21</v>
      </c>
      <c r="D1194" t="str">
        <f>"LS GV 205983"</f>
        <v>LS GV 205983</v>
      </c>
      <c r="E1194" t="str">
        <f t="shared" si="199"/>
        <v>LS</v>
      </c>
      <c r="F1194" t="s">
        <v>17</v>
      </c>
      <c r="G1194" t="s">
        <v>18</v>
      </c>
      <c r="H1194">
        <v>3500</v>
      </c>
      <c r="I1194" t="str">
        <f>"Handmade Parade CIC"</f>
        <v>Handmade Parade CIC</v>
      </c>
      <c r="J1194" t="str">
        <f>"CO - Handmade Parade CIC Grants And Subscriptions Supplies And Services Policy and Voluntary Sector Economy and Investment"</f>
        <v>CO - Handmade Parade CIC Grants And Subscriptions Supplies And Services Policy and Voluntary Sector Economy and Investment</v>
      </c>
    </row>
    <row r="1195" spans="1:10" x14ac:dyDescent="0.35">
      <c r="A1195" t="str">
        <f t="shared" si="202"/>
        <v>OCT</v>
      </c>
      <c r="B1195" t="str">
        <f t="shared" si="197"/>
        <v>20</v>
      </c>
      <c r="C1195" t="str">
        <f t="shared" si="198"/>
        <v>2020/21</v>
      </c>
      <c r="D1195" t="str">
        <f>"LS GV 205984"</f>
        <v>LS GV 205984</v>
      </c>
      <c r="E1195" t="str">
        <f t="shared" si="199"/>
        <v>LS</v>
      </c>
      <c r="F1195" t="s">
        <v>17</v>
      </c>
      <c r="G1195" t="s">
        <v>18</v>
      </c>
      <c r="H1195">
        <v>5408.75</v>
      </c>
      <c r="I1195" t="str">
        <f>"Healthy Minds Calderdale Wellbeing"</f>
        <v>Healthy Minds Calderdale Wellbeing</v>
      </c>
      <c r="J1195" t="str">
        <f>"LF - Healthy Minds Grants And Subscriptions Supplies And Services Policy and Voluntary Sector Economy and Investment"</f>
        <v>LF - Healthy Minds Grants And Subscriptions Supplies And Services Policy and Voluntary Sector Economy and Investment</v>
      </c>
    </row>
    <row r="1196" spans="1:10" x14ac:dyDescent="0.35">
      <c r="A1196" t="str">
        <f t="shared" si="202"/>
        <v>OCT</v>
      </c>
      <c r="B1196" t="str">
        <f t="shared" si="197"/>
        <v>20</v>
      </c>
      <c r="C1196" t="str">
        <f t="shared" si="198"/>
        <v>2020/21</v>
      </c>
      <c r="D1196" t="str">
        <f>"LS GV 205985"</f>
        <v>LS GV 205985</v>
      </c>
      <c r="E1196" t="str">
        <f t="shared" si="199"/>
        <v>LS</v>
      </c>
      <c r="F1196" t="s">
        <v>17</v>
      </c>
      <c r="G1196" t="s">
        <v>18</v>
      </c>
      <c r="H1196">
        <v>4500</v>
      </c>
      <c r="I1196" t="str">
        <f>"Calderdale Smartmove"</f>
        <v>Calderdale Smartmove</v>
      </c>
      <c r="J1196" t="str">
        <f>"LF - Calderdale Smartmove Grants And Subscriptions Supplies And Services Policy and Voluntary Sector Economy and Investment"</f>
        <v>LF - Calderdale Smartmove Grants And Subscriptions Supplies And Services Policy and Voluntary Sector Economy and Investment</v>
      </c>
    </row>
    <row r="1197" spans="1:10" x14ac:dyDescent="0.35">
      <c r="A1197" t="str">
        <f t="shared" si="202"/>
        <v>OCT</v>
      </c>
      <c r="B1197" t="str">
        <f t="shared" si="197"/>
        <v>20</v>
      </c>
      <c r="C1197" t="str">
        <f t="shared" si="198"/>
        <v>2020/21</v>
      </c>
      <c r="D1197" t="str">
        <f>"LS GV 205950"</f>
        <v>LS GV 205950</v>
      </c>
      <c r="E1197" t="str">
        <f t="shared" si="199"/>
        <v>LS</v>
      </c>
      <c r="F1197" t="s">
        <v>17</v>
      </c>
      <c r="G1197" t="s">
        <v>18</v>
      </c>
      <c r="H1197">
        <v>30000</v>
      </c>
      <c r="I1197" t="str">
        <f>"Christians Together Calderdale"</f>
        <v>Christians Together Calderdale</v>
      </c>
      <c r="J1197" t="str">
        <f>"Food banks - Gathering Place Grants And Subscriptions Supplies And Services COVID19 - DEFRA Emergency Assistance Grant Economy and Investment"</f>
        <v>Food banks - Gathering Place Grants And Subscriptions Supplies And Services COVID19 - DEFRA Emergency Assistance Grant Economy and Investment</v>
      </c>
    </row>
    <row r="1198" spans="1:10" x14ac:dyDescent="0.35">
      <c r="A1198" t="str">
        <f t="shared" si="202"/>
        <v>OCT</v>
      </c>
      <c r="B1198" t="str">
        <f t="shared" si="197"/>
        <v>20</v>
      </c>
      <c r="C1198" t="str">
        <f t="shared" si="198"/>
        <v>2020/21</v>
      </c>
      <c r="D1198" t="str">
        <f>"LS GV 205949"</f>
        <v>LS GV 205949</v>
      </c>
      <c r="E1198" t="str">
        <f t="shared" si="199"/>
        <v>LS</v>
      </c>
      <c r="F1198" t="s">
        <v>17</v>
      </c>
      <c r="G1198" t="s">
        <v>18</v>
      </c>
      <c r="H1198">
        <v>3000</v>
      </c>
      <c r="I1198" t="str">
        <f>"Integrated4solutions CIC"</f>
        <v>Integrated4solutions CIC</v>
      </c>
      <c r="J1198" t="str">
        <f>"Food banks - NHP Grants And Subscriptions Supplies And Services COVID19 - DEFRA Emergency Assistance Grant Economy and Investment"</f>
        <v>Food banks - NHP Grants And Subscriptions Supplies And Services COVID19 - DEFRA Emergency Assistance Grant Economy and Investment</v>
      </c>
    </row>
    <row r="1199" spans="1:10" x14ac:dyDescent="0.35">
      <c r="A1199" t="str">
        <f t="shared" si="202"/>
        <v>OCT</v>
      </c>
      <c r="B1199" t="str">
        <f t="shared" si="197"/>
        <v>20</v>
      </c>
      <c r="C1199" t="str">
        <f t="shared" si="198"/>
        <v>2020/21</v>
      </c>
      <c r="D1199" t="str">
        <f>"TF CI 000702"</f>
        <v>TF CI 000702</v>
      </c>
      <c r="E1199" t="str">
        <f t="shared" si="199"/>
        <v>TF</v>
      </c>
      <c r="F1199" t="s">
        <v>17</v>
      </c>
      <c r="G1199" t="s">
        <v>18</v>
      </c>
      <c r="H1199">
        <v>432.83</v>
      </c>
      <c r="I1199" t="str">
        <f>"The Piece Hall Trust"</f>
        <v>The Piece Hall Trust</v>
      </c>
      <c r="J1199" t="str">
        <f>"Rent Rent And Rates Premises And Related Expenses Halifax TIC Economy and Investment"</f>
        <v>Rent Rent And Rates Premises And Related Expenses Halifax TIC Economy and Investment</v>
      </c>
    </row>
    <row r="1200" spans="1:10" x14ac:dyDescent="0.35">
      <c r="A1200" t="str">
        <f t="shared" si="202"/>
        <v>OCT</v>
      </c>
      <c r="B1200" t="str">
        <f t="shared" si="197"/>
        <v>20</v>
      </c>
      <c r="C1200" t="str">
        <f t="shared" si="198"/>
        <v>2020/21</v>
      </c>
      <c r="D1200" t="str">
        <f>"LS GV 205981"</f>
        <v>LS GV 205981</v>
      </c>
      <c r="E1200" t="str">
        <f t="shared" si="199"/>
        <v>LS</v>
      </c>
      <c r="F1200" t="s">
        <v>17</v>
      </c>
      <c r="G1200" t="s">
        <v>18</v>
      </c>
      <c r="H1200">
        <v>26550</v>
      </c>
      <c r="I1200" t="str">
        <f>"Halifax Opportunities Trust"</f>
        <v>Halifax Opportunities Trust</v>
      </c>
      <c r="J1200" t="str">
        <f>"Contribution towards Employment Worker (HOT) Miscellaneous Expenses Supplies And Services Business Rates Pool - Inclusive Economy Economy and In"</f>
        <v>Contribution towards Employment Worker (HOT) Miscellaneous Expenses Supplies And Services Business Rates Pool - Inclusive Economy Economy and In</v>
      </c>
    </row>
    <row r="1201" spans="1:10" x14ac:dyDescent="0.35">
      <c r="A1201" t="str">
        <f t="shared" si="202"/>
        <v>OCT</v>
      </c>
      <c r="B1201" t="str">
        <f t="shared" si="197"/>
        <v>20</v>
      </c>
      <c r="C1201" t="str">
        <f t="shared" si="198"/>
        <v>2020/21</v>
      </c>
      <c r="D1201" t="str">
        <f>"SC CK 217447"</f>
        <v>SC CK 217447</v>
      </c>
      <c r="E1201" t="str">
        <f t="shared" si="199"/>
        <v>SC</v>
      </c>
      <c r="F1201" t="s">
        <v>21</v>
      </c>
      <c r="G1201" t="s">
        <v>22</v>
      </c>
      <c r="H1201">
        <v>4144.12</v>
      </c>
      <c r="I1201" t="str">
        <f>"Noahs Ark Centre"</f>
        <v>Noahs Ark Centre</v>
      </c>
      <c r="J1201" t="str">
        <f>"Prevention / Early Intervention Private Contractors Agency And Contracted Services Transformation Plan - grant funding Integrated commissioning"</f>
        <v>Prevention / Early Intervention Private Contractors Agency And Contracted Services Transformation Plan - grant funding Integrated commissioning</v>
      </c>
    </row>
    <row r="1202" spans="1:10" x14ac:dyDescent="0.35">
      <c r="A1202" t="str">
        <f t="shared" si="202"/>
        <v>OCT</v>
      </c>
      <c r="B1202" t="str">
        <f t="shared" si="197"/>
        <v>20</v>
      </c>
      <c r="C1202" t="str">
        <f t="shared" si="198"/>
        <v>2020/21</v>
      </c>
      <c r="D1202" t="str">
        <f>"SC CK 217447"</f>
        <v>SC CK 217447</v>
      </c>
      <c r="E1202" t="str">
        <f t="shared" si="199"/>
        <v>SC</v>
      </c>
      <c r="F1202" t="s">
        <v>21</v>
      </c>
      <c r="G1202" t="s">
        <v>22</v>
      </c>
      <c r="H1202">
        <v>4144.12</v>
      </c>
      <c r="I1202" t="str">
        <f>"Noahs Ark Centre"</f>
        <v>Noahs Ark Centre</v>
      </c>
      <c r="J1202" t="str">
        <f>"Prevention / Early Intervention Private Contractors Agency And Contracted Services Transformation Plan - grant funding Integrated commissioning"</f>
        <v>Prevention / Early Intervention Private Contractors Agency And Contracted Services Transformation Plan - grant funding Integrated commissioning</v>
      </c>
    </row>
    <row r="1203" spans="1:10" x14ac:dyDescent="0.35">
      <c r="A1203" t="str">
        <f t="shared" si="202"/>
        <v>OCT</v>
      </c>
      <c r="B1203" t="str">
        <f t="shared" si="197"/>
        <v>20</v>
      </c>
      <c r="C1203" t="str">
        <f t="shared" si="198"/>
        <v>2020/21</v>
      </c>
      <c r="D1203" t="str">
        <f>"SC CK 217447"</f>
        <v>SC CK 217447</v>
      </c>
      <c r="E1203" t="str">
        <f t="shared" si="199"/>
        <v>SC</v>
      </c>
      <c r="F1203" t="s">
        <v>21</v>
      </c>
      <c r="G1203" t="s">
        <v>22</v>
      </c>
      <c r="H1203">
        <v>4144.12</v>
      </c>
      <c r="I1203" t="str">
        <f>"Noahs Ark Centre"</f>
        <v>Noahs Ark Centre</v>
      </c>
      <c r="J1203" t="str">
        <f>"Prevention / Early Intervention Private Contractors Agency And Contracted Services Transformation Plan - grant funding Integrated commissioning"</f>
        <v>Prevention / Early Intervention Private Contractors Agency And Contracted Services Transformation Plan - grant funding Integrated commissioning</v>
      </c>
    </row>
    <row r="1204" spans="1:10" x14ac:dyDescent="0.35">
      <c r="A1204" t="str">
        <f t="shared" si="202"/>
        <v>OCT</v>
      </c>
      <c r="B1204" t="str">
        <f t="shared" si="197"/>
        <v>20</v>
      </c>
      <c r="C1204" t="str">
        <f t="shared" si="198"/>
        <v>2020/21</v>
      </c>
      <c r="D1204" t="str">
        <f>"SC CK 213529"</f>
        <v>SC CK 213529</v>
      </c>
      <c r="E1204" t="str">
        <f t="shared" si="199"/>
        <v>SC</v>
      </c>
      <c r="F1204" t="s">
        <v>21</v>
      </c>
      <c r="G1204" t="s">
        <v>22</v>
      </c>
      <c r="H1204">
        <v>7800</v>
      </c>
      <c r="I1204" t="str">
        <f>"Noahs Ark Centre"</f>
        <v>Noahs Ark Centre</v>
      </c>
      <c r="J1204" t="str">
        <f>"Vulnerable groups Private Contractors Agency And Contracted Services Transformation Plan - grant funding Integrated commissioning - children's"</f>
        <v>Vulnerable groups Private Contractors Agency And Contracted Services Transformation Plan - grant funding Integrated commissioning - children's</v>
      </c>
    </row>
    <row r="1205" spans="1:10" x14ac:dyDescent="0.35">
      <c r="A1205" t="str">
        <f t="shared" si="202"/>
        <v>OCT</v>
      </c>
      <c r="B1205" t="str">
        <f t="shared" si="197"/>
        <v>20</v>
      </c>
      <c r="C1205" t="str">
        <f t="shared" si="198"/>
        <v>2020/21</v>
      </c>
      <c r="D1205" t="str">
        <f>"SC CK 217330"</f>
        <v>SC CK 217330</v>
      </c>
      <c r="E1205" t="str">
        <f t="shared" si="199"/>
        <v>SC</v>
      </c>
      <c r="F1205" t="s">
        <v>21</v>
      </c>
      <c r="G1205" t="s">
        <v>22</v>
      </c>
      <c r="H1205">
        <v>9567</v>
      </c>
      <c r="I1205" t="str">
        <f>"Womencentre Ltd"</f>
        <v>Womencentre Ltd</v>
      </c>
      <c r="J1205" t="str">
        <f>"AP post - Womans refuge Voluntary Associations Agency And Contracted Services Domestic Abuse Integrated commissioning - children's"</f>
        <v>AP post - Womans refuge Voluntary Associations Agency And Contracted Services Domestic Abuse Integrated commissioning - children's</v>
      </c>
    </row>
    <row r="1206" spans="1:10" x14ac:dyDescent="0.35">
      <c r="A1206" t="str">
        <f t="shared" si="202"/>
        <v>OCT</v>
      </c>
      <c r="B1206" t="str">
        <f t="shared" si="197"/>
        <v>20</v>
      </c>
      <c r="C1206" t="str">
        <f t="shared" si="198"/>
        <v>2020/21</v>
      </c>
      <c r="D1206" t="str">
        <f>"SC CK 215735"</f>
        <v>SC CK 215735</v>
      </c>
      <c r="E1206" t="str">
        <f t="shared" si="199"/>
        <v>SC</v>
      </c>
      <c r="F1206" t="s">
        <v>21</v>
      </c>
      <c r="G1206" t="s">
        <v>22</v>
      </c>
      <c r="H1206">
        <v>71047.5</v>
      </c>
      <c r="I1206" t="str">
        <f>"Womencentre Ltd"</f>
        <v>Womencentre Ltd</v>
      </c>
      <c r="J1206" t="str">
        <f>"Contract Voluntary Associations Agency And Contracted Services Domestic Abuse Integrated commissioning - children's"</f>
        <v>Contract Voluntary Associations Agency And Contracted Services Domestic Abuse Integrated commissioning - children's</v>
      </c>
    </row>
    <row r="1207" spans="1:10" x14ac:dyDescent="0.35">
      <c r="A1207" t="str">
        <f t="shared" si="202"/>
        <v>OCT</v>
      </c>
      <c r="B1207" t="str">
        <f t="shared" si="197"/>
        <v>20</v>
      </c>
      <c r="C1207" t="str">
        <f t="shared" si="198"/>
        <v>2020/21</v>
      </c>
      <c r="D1207" t="str">
        <f>"SC CK 215400"</f>
        <v>SC CK 215400</v>
      </c>
      <c r="E1207" t="str">
        <f t="shared" si="199"/>
        <v>SC</v>
      </c>
      <c r="F1207" t="s">
        <v>21</v>
      </c>
      <c r="G1207" t="s">
        <v>22</v>
      </c>
      <c r="H1207">
        <v>152481.74</v>
      </c>
      <c r="I1207" t="str">
        <f>"North Halifax Partnership Ltd"</f>
        <v>North Halifax Partnership Ltd</v>
      </c>
      <c r="J1207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1208" spans="1:10" x14ac:dyDescent="0.35">
      <c r="A1208" t="str">
        <f t="shared" si="202"/>
        <v>OCT</v>
      </c>
      <c r="B1208" t="str">
        <f t="shared" si="197"/>
        <v>20</v>
      </c>
      <c r="C1208" t="str">
        <f t="shared" si="198"/>
        <v>2020/21</v>
      </c>
      <c r="D1208" t="str">
        <f>"SC CK 215517"</f>
        <v>SC CK 215517</v>
      </c>
      <c r="E1208" t="str">
        <f t="shared" si="199"/>
        <v>SC</v>
      </c>
      <c r="F1208" t="s">
        <v>21</v>
      </c>
      <c r="G1208" t="s">
        <v>22</v>
      </c>
      <c r="H1208">
        <v>184620.84</v>
      </c>
      <c r="I1208" t="str">
        <f>"Halifax Opportunities Trust"</f>
        <v>Halifax Opportunities Trust</v>
      </c>
      <c r="J1208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1209" spans="1:10" x14ac:dyDescent="0.35">
      <c r="A1209" t="str">
        <f t="shared" si="202"/>
        <v>OCT</v>
      </c>
      <c r="B1209" t="str">
        <f t="shared" si="197"/>
        <v>20</v>
      </c>
      <c r="C1209" t="str">
        <f t="shared" si="198"/>
        <v>2020/21</v>
      </c>
      <c r="D1209" t="str">
        <f>"SC CK 215517"</f>
        <v>SC CK 215517</v>
      </c>
      <c r="E1209" t="str">
        <f t="shared" si="199"/>
        <v>SC</v>
      </c>
      <c r="F1209" t="s">
        <v>21</v>
      </c>
      <c r="G1209" t="s">
        <v>22</v>
      </c>
      <c r="H1209">
        <v>184620.84</v>
      </c>
      <c r="I1209" t="str">
        <f>"Halifax Opportunities Trust"</f>
        <v>Halifax Opportunities Trust</v>
      </c>
      <c r="J1209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1210" spans="1:10" x14ac:dyDescent="0.35">
      <c r="A1210" t="str">
        <f t="shared" si="202"/>
        <v>OCT</v>
      </c>
      <c r="B1210" t="str">
        <f t="shared" si="197"/>
        <v>20</v>
      </c>
      <c r="C1210" t="str">
        <f t="shared" si="198"/>
        <v>2020/21</v>
      </c>
      <c r="D1210" t="str">
        <f>"SC DC 215411"</f>
        <v>SC DC 215411</v>
      </c>
      <c r="E1210" t="str">
        <f t="shared" si="199"/>
        <v>SC</v>
      </c>
      <c r="F1210" t="s">
        <v>21</v>
      </c>
      <c r="G1210" t="s">
        <v>22</v>
      </c>
      <c r="H1210">
        <v>443.52</v>
      </c>
      <c r="I1210" t="str">
        <f>"The Mayfield Trust"</f>
        <v>The Mayfield Trust</v>
      </c>
      <c r="J1210" t="str">
        <f>"Personal Care Private Contractors Agency And Contracted Services Short Breaks Integrated commissioning - children's"</f>
        <v>Personal Care Private Contractors Agency And Contracted Services Short Breaks Integrated commissioning - children's</v>
      </c>
    </row>
    <row r="1211" spans="1:10" x14ac:dyDescent="0.35">
      <c r="A1211" t="str">
        <f t="shared" si="202"/>
        <v>OCT</v>
      </c>
      <c r="B1211" t="str">
        <f t="shared" si="197"/>
        <v>20</v>
      </c>
      <c r="C1211" t="str">
        <f t="shared" si="198"/>
        <v>2020/21</v>
      </c>
      <c r="D1211" t="str">
        <f>"SC DC 215411"</f>
        <v>SC DC 215411</v>
      </c>
      <c r="E1211" t="str">
        <f t="shared" si="199"/>
        <v>SC</v>
      </c>
      <c r="F1211" t="s">
        <v>21</v>
      </c>
      <c r="G1211" t="s">
        <v>22</v>
      </c>
      <c r="H1211">
        <v>418.88</v>
      </c>
      <c r="I1211" t="str">
        <f>"The Mayfield Trust"</f>
        <v>The Mayfield Trust</v>
      </c>
      <c r="J1211" t="str">
        <f>"Personal Care Private Contractors Agency And Contracted Services Short Breaks Integrated commissioning - children's"</f>
        <v>Personal Care Private Contractors Agency And Contracted Services Short Breaks Integrated commissioning - children's</v>
      </c>
    </row>
    <row r="1212" spans="1:10" x14ac:dyDescent="0.35">
      <c r="A1212" t="str">
        <f t="shared" si="202"/>
        <v>OCT</v>
      </c>
      <c r="B1212" t="str">
        <f t="shared" si="197"/>
        <v>20</v>
      </c>
      <c r="C1212" t="str">
        <f t="shared" si="198"/>
        <v>2020/21</v>
      </c>
      <c r="D1212" t="str">
        <f>"SC DC 217443"</f>
        <v>SC DC 217443</v>
      </c>
      <c r="E1212" t="str">
        <f t="shared" si="199"/>
        <v>SC</v>
      </c>
      <c r="F1212" t="s">
        <v>21</v>
      </c>
      <c r="G1212" t="s">
        <v>22</v>
      </c>
      <c r="H1212">
        <v>197.76</v>
      </c>
      <c r="I1212" t="str">
        <f>"Carers Trust Mid Yorkshire"</f>
        <v>Carers Trust Mid Yorkshire</v>
      </c>
      <c r="J1212" t="str">
        <f t="shared" ref="J1212:J1234" si="203">"Outreach Private Contractors Agency And Contracted Services Short Breaks Integrated commissioning - children's"</f>
        <v>Outreach Private Contractors Agency And Contracted Services Short Breaks Integrated commissioning - children's</v>
      </c>
    </row>
    <row r="1213" spans="1:10" x14ac:dyDescent="0.35">
      <c r="A1213" t="str">
        <f t="shared" si="202"/>
        <v>OCT</v>
      </c>
      <c r="B1213" t="str">
        <f t="shared" si="197"/>
        <v>20</v>
      </c>
      <c r="C1213" t="str">
        <f t="shared" si="198"/>
        <v>2020/21</v>
      </c>
      <c r="D1213" t="str">
        <f>"SC DC 216886"</f>
        <v>SC DC 216886</v>
      </c>
      <c r="E1213" t="str">
        <f t="shared" si="199"/>
        <v>SC</v>
      </c>
      <c r="F1213" t="s">
        <v>21</v>
      </c>
      <c r="G1213" t="s">
        <v>22</v>
      </c>
      <c r="H1213">
        <v>197.76</v>
      </c>
      <c r="I1213" t="str">
        <f>"Carers Trust Mid Yorkshire"</f>
        <v>Carers Trust Mid Yorkshire</v>
      </c>
      <c r="J1213" t="str">
        <f t="shared" si="203"/>
        <v>Outreach Private Contractors Agency And Contracted Services Short Breaks Integrated commissioning - children's</v>
      </c>
    </row>
    <row r="1214" spans="1:10" x14ac:dyDescent="0.35">
      <c r="A1214" t="str">
        <f t="shared" si="202"/>
        <v>OCT</v>
      </c>
      <c r="B1214" t="str">
        <f t="shared" si="197"/>
        <v>20</v>
      </c>
      <c r="C1214" t="str">
        <f t="shared" si="198"/>
        <v>2020/21</v>
      </c>
      <c r="D1214" t="str">
        <f>"SC DC 215409"</f>
        <v>SC DC 215409</v>
      </c>
      <c r="E1214" t="str">
        <f t="shared" si="199"/>
        <v>SC</v>
      </c>
      <c r="F1214" t="s">
        <v>21</v>
      </c>
      <c r="G1214" t="s">
        <v>22</v>
      </c>
      <c r="H1214">
        <v>95.04</v>
      </c>
      <c r="I1214" t="str">
        <f t="shared" ref="I1214:I1234" si="204">"The Mayfield Trust"</f>
        <v>The Mayfield Trust</v>
      </c>
      <c r="J1214" t="str">
        <f t="shared" si="203"/>
        <v>Outreach Private Contractors Agency And Contracted Services Short Breaks Integrated commissioning - children's</v>
      </c>
    </row>
    <row r="1215" spans="1:10" x14ac:dyDescent="0.35">
      <c r="A1215" t="str">
        <f t="shared" si="202"/>
        <v>OCT</v>
      </c>
      <c r="B1215" t="str">
        <f t="shared" si="197"/>
        <v>20</v>
      </c>
      <c r="C1215" t="str">
        <f t="shared" si="198"/>
        <v>2020/21</v>
      </c>
      <c r="D1215" t="str">
        <f>"SC DC 215835"</f>
        <v>SC DC 215835</v>
      </c>
      <c r="E1215" t="str">
        <f t="shared" si="199"/>
        <v>SC</v>
      </c>
      <c r="F1215" t="s">
        <v>21</v>
      </c>
      <c r="G1215" t="s">
        <v>22</v>
      </c>
      <c r="H1215">
        <v>190.08</v>
      </c>
      <c r="I1215" t="str">
        <f t="shared" si="204"/>
        <v>The Mayfield Trust</v>
      </c>
      <c r="J1215" t="str">
        <f t="shared" si="203"/>
        <v>Outreach Private Contractors Agency And Contracted Services Short Breaks Integrated commissioning - children's</v>
      </c>
    </row>
    <row r="1216" spans="1:10" x14ac:dyDescent="0.35">
      <c r="A1216" t="str">
        <f t="shared" si="202"/>
        <v>OCT</v>
      </c>
      <c r="B1216" t="str">
        <f t="shared" si="197"/>
        <v>20</v>
      </c>
      <c r="C1216" t="str">
        <f t="shared" si="198"/>
        <v>2020/21</v>
      </c>
      <c r="D1216" t="str">
        <f>"SC DC 215416"</f>
        <v>SC DC 215416</v>
      </c>
      <c r="E1216" t="str">
        <f t="shared" si="199"/>
        <v>SC</v>
      </c>
      <c r="F1216" t="s">
        <v>21</v>
      </c>
      <c r="G1216" t="s">
        <v>22</v>
      </c>
      <c r="H1216">
        <v>332.64</v>
      </c>
      <c r="I1216" t="str">
        <f t="shared" si="204"/>
        <v>The Mayfield Trust</v>
      </c>
      <c r="J1216" t="str">
        <f t="shared" si="203"/>
        <v>Outreach Private Contractors Agency And Contracted Services Short Breaks Integrated commissioning - children's</v>
      </c>
    </row>
    <row r="1217" spans="1:10" x14ac:dyDescent="0.35">
      <c r="A1217" t="str">
        <f t="shared" si="202"/>
        <v>OCT</v>
      </c>
      <c r="B1217" t="str">
        <f t="shared" si="197"/>
        <v>20</v>
      </c>
      <c r="C1217" t="str">
        <f t="shared" si="198"/>
        <v>2020/21</v>
      </c>
      <c r="D1217" t="str">
        <f>"SC DC 215356"</f>
        <v>SC DC 215356</v>
      </c>
      <c r="E1217" t="str">
        <f t="shared" si="199"/>
        <v>SC</v>
      </c>
      <c r="F1217" t="s">
        <v>21</v>
      </c>
      <c r="G1217" t="s">
        <v>22</v>
      </c>
      <c r="H1217">
        <v>95.04</v>
      </c>
      <c r="I1217" t="str">
        <f t="shared" si="204"/>
        <v>The Mayfield Trust</v>
      </c>
      <c r="J1217" t="str">
        <f t="shared" si="203"/>
        <v>Outreach Private Contractors Agency And Contracted Services Short Breaks Integrated commissioning - children's</v>
      </c>
    </row>
    <row r="1218" spans="1:10" x14ac:dyDescent="0.35">
      <c r="A1218" t="str">
        <f t="shared" si="202"/>
        <v>OCT</v>
      </c>
      <c r="B1218" t="str">
        <f t="shared" ref="B1218:B1281" si="205">"20"</f>
        <v>20</v>
      </c>
      <c r="C1218" t="str">
        <f t="shared" ref="C1218:C1281" si="206">"2020/21"</f>
        <v>2020/21</v>
      </c>
      <c r="D1218" t="str">
        <f>"SC DC 215411"</f>
        <v>SC DC 215411</v>
      </c>
      <c r="E1218" t="str">
        <f t="shared" ref="E1218:E1281" si="207">LEFT(D1218,2)</f>
        <v>SC</v>
      </c>
      <c r="F1218" t="s">
        <v>21</v>
      </c>
      <c r="G1218" t="s">
        <v>22</v>
      </c>
      <c r="H1218">
        <v>554.4</v>
      </c>
      <c r="I1218" t="str">
        <f t="shared" si="204"/>
        <v>The Mayfield Trust</v>
      </c>
      <c r="J1218" t="str">
        <f t="shared" si="203"/>
        <v>Outreach Private Contractors Agency And Contracted Services Short Breaks Integrated commissioning - children's</v>
      </c>
    </row>
    <row r="1219" spans="1:10" x14ac:dyDescent="0.35">
      <c r="A1219" t="str">
        <f t="shared" si="202"/>
        <v>OCT</v>
      </c>
      <c r="B1219" t="str">
        <f t="shared" si="205"/>
        <v>20</v>
      </c>
      <c r="C1219" t="str">
        <f t="shared" si="206"/>
        <v>2020/21</v>
      </c>
      <c r="D1219" t="str">
        <f>"SC DC 215408"</f>
        <v>SC DC 215408</v>
      </c>
      <c r="E1219" t="str">
        <f t="shared" si="207"/>
        <v>SC</v>
      </c>
      <c r="F1219" t="s">
        <v>21</v>
      </c>
      <c r="G1219" t="s">
        <v>22</v>
      </c>
      <c r="H1219">
        <v>95.04</v>
      </c>
      <c r="I1219" t="str">
        <f t="shared" si="204"/>
        <v>The Mayfield Trust</v>
      </c>
      <c r="J1219" t="str">
        <f t="shared" si="203"/>
        <v>Outreach Private Contractors Agency And Contracted Services Short Breaks Integrated commissioning - children's</v>
      </c>
    </row>
    <row r="1220" spans="1:10" x14ac:dyDescent="0.35">
      <c r="A1220" t="str">
        <f t="shared" si="202"/>
        <v>OCT</v>
      </c>
      <c r="B1220" t="str">
        <f t="shared" si="205"/>
        <v>20</v>
      </c>
      <c r="C1220" t="str">
        <f t="shared" si="206"/>
        <v>2020/21</v>
      </c>
      <c r="D1220" t="str">
        <f>"SC DC 215412"</f>
        <v>SC DC 215412</v>
      </c>
      <c r="E1220" t="str">
        <f t="shared" si="207"/>
        <v>SC</v>
      </c>
      <c r="F1220" t="s">
        <v>21</v>
      </c>
      <c r="G1220" t="s">
        <v>22</v>
      </c>
      <c r="H1220">
        <v>201.96</v>
      </c>
      <c r="I1220" t="str">
        <f t="shared" si="204"/>
        <v>The Mayfield Trust</v>
      </c>
      <c r="J1220" t="str">
        <f t="shared" si="203"/>
        <v>Outreach Private Contractors Agency And Contracted Services Short Breaks Integrated commissioning - children's</v>
      </c>
    </row>
    <row r="1221" spans="1:10" x14ac:dyDescent="0.35">
      <c r="A1221" t="str">
        <f t="shared" si="202"/>
        <v>OCT</v>
      </c>
      <c r="B1221" t="str">
        <f t="shared" si="205"/>
        <v>20</v>
      </c>
      <c r="C1221" t="str">
        <f t="shared" si="206"/>
        <v>2020/21</v>
      </c>
      <c r="D1221" t="str">
        <f>"SC DC 215410"</f>
        <v>SC DC 215410</v>
      </c>
      <c r="E1221" t="str">
        <f t="shared" si="207"/>
        <v>SC</v>
      </c>
      <c r="F1221" t="s">
        <v>21</v>
      </c>
      <c r="G1221" t="s">
        <v>22</v>
      </c>
      <c r="H1221">
        <v>95.04</v>
      </c>
      <c r="I1221" t="str">
        <f t="shared" si="204"/>
        <v>The Mayfield Trust</v>
      </c>
      <c r="J1221" t="str">
        <f t="shared" si="203"/>
        <v>Outreach Private Contractors Agency And Contracted Services Short Breaks Integrated commissioning - children's</v>
      </c>
    </row>
    <row r="1222" spans="1:10" x14ac:dyDescent="0.35">
      <c r="A1222" t="str">
        <f t="shared" si="202"/>
        <v>OCT</v>
      </c>
      <c r="B1222" t="str">
        <f t="shared" si="205"/>
        <v>20</v>
      </c>
      <c r="C1222" t="str">
        <f t="shared" si="206"/>
        <v>2020/21</v>
      </c>
      <c r="D1222" t="str">
        <f>"SC DC 215411"</f>
        <v>SC DC 215411</v>
      </c>
      <c r="E1222" t="str">
        <f t="shared" si="207"/>
        <v>SC</v>
      </c>
      <c r="F1222" t="s">
        <v>21</v>
      </c>
      <c r="G1222" t="s">
        <v>22</v>
      </c>
      <c r="H1222">
        <v>126.72</v>
      </c>
      <c r="I1222" t="str">
        <f t="shared" si="204"/>
        <v>The Mayfield Trust</v>
      </c>
      <c r="J1222" t="str">
        <f t="shared" si="203"/>
        <v>Outreach Private Contractors Agency And Contracted Services Short Breaks Integrated commissioning - children's</v>
      </c>
    </row>
    <row r="1223" spans="1:10" x14ac:dyDescent="0.35">
      <c r="A1223" t="str">
        <f t="shared" si="202"/>
        <v>OCT</v>
      </c>
      <c r="B1223" t="str">
        <f t="shared" si="205"/>
        <v>20</v>
      </c>
      <c r="C1223" t="str">
        <f t="shared" si="206"/>
        <v>2020/21</v>
      </c>
      <c r="D1223" t="str">
        <f>"SC DC 215413"</f>
        <v>SC DC 215413</v>
      </c>
      <c r="E1223" t="str">
        <f t="shared" si="207"/>
        <v>SC</v>
      </c>
      <c r="F1223" t="s">
        <v>21</v>
      </c>
      <c r="G1223" t="s">
        <v>22</v>
      </c>
      <c r="H1223">
        <v>95.04</v>
      </c>
      <c r="I1223" t="str">
        <f t="shared" si="204"/>
        <v>The Mayfield Trust</v>
      </c>
      <c r="J1223" t="str">
        <f t="shared" si="203"/>
        <v>Outreach Private Contractors Agency And Contracted Services Short Breaks Integrated commissioning - children's</v>
      </c>
    </row>
    <row r="1224" spans="1:10" x14ac:dyDescent="0.35">
      <c r="A1224" t="str">
        <f t="shared" si="202"/>
        <v>OCT</v>
      </c>
      <c r="B1224" t="str">
        <f t="shared" si="205"/>
        <v>20</v>
      </c>
      <c r="C1224" t="str">
        <f t="shared" si="206"/>
        <v>2020/21</v>
      </c>
      <c r="D1224" t="str">
        <f>"SC DC 215835"</f>
        <v>SC DC 215835</v>
      </c>
      <c r="E1224" t="str">
        <f t="shared" si="207"/>
        <v>SC</v>
      </c>
      <c r="F1224" t="s">
        <v>21</v>
      </c>
      <c r="G1224" t="s">
        <v>22</v>
      </c>
      <c r="H1224">
        <v>190.08</v>
      </c>
      <c r="I1224" t="str">
        <f t="shared" si="204"/>
        <v>The Mayfield Trust</v>
      </c>
      <c r="J1224" t="str">
        <f t="shared" si="203"/>
        <v>Outreach Private Contractors Agency And Contracted Services Short Breaks Integrated commissioning - children's</v>
      </c>
    </row>
    <row r="1225" spans="1:10" x14ac:dyDescent="0.35">
      <c r="A1225" t="str">
        <f t="shared" si="202"/>
        <v>OCT</v>
      </c>
      <c r="B1225" t="str">
        <f t="shared" si="205"/>
        <v>20</v>
      </c>
      <c r="C1225" t="str">
        <f t="shared" si="206"/>
        <v>2020/21</v>
      </c>
      <c r="D1225" t="str">
        <f>"SC DC 215356"</f>
        <v>SC DC 215356</v>
      </c>
      <c r="E1225" t="str">
        <f t="shared" si="207"/>
        <v>SC</v>
      </c>
      <c r="F1225" t="s">
        <v>21</v>
      </c>
      <c r="G1225" t="s">
        <v>22</v>
      </c>
      <c r="H1225">
        <v>285.12</v>
      </c>
      <c r="I1225" t="str">
        <f t="shared" si="204"/>
        <v>The Mayfield Trust</v>
      </c>
      <c r="J1225" t="str">
        <f t="shared" si="203"/>
        <v>Outreach Private Contractors Agency And Contracted Services Short Breaks Integrated commissioning - children's</v>
      </c>
    </row>
    <row r="1226" spans="1:10" x14ac:dyDescent="0.35">
      <c r="A1226" t="str">
        <f t="shared" si="202"/>
        <v>OCT</v>
      </c>
      <c r="B1226" t="str">
        <f t="shared" si="205"/>
        <v>20</v>
      </c>
      <c r="C1226" t="str">
        <f t="shared" si="206"/>
        <v>2020/21</v>
      </c>
      <c r="D1226" t="str">
        <f>"SC DC 215835"</f>
        <v>SC DC 215835</v>
      </c>
      <c r="E1226" t="str">
        <f t="shared" si="207"/>
        <v>SC</v>
      </c>
      <c r="F1226" t="s">
        <v>21</v>
      </c>
      <c r="G1226" t="s">
        <v>22</v>
      </c>
      <c r="H1226">
        <v>269.27999999999997</v>
      </c>
      <c r="I1226" t="str">
        <f t="shared" si="204"/>
        <v>The Mayfield Trust</v>
      </c>
      <c r="J1226" t="str">
        <f t="shared" si="203"/>
        <v>Outreach Private Contractors Agency And Contracted Services Short Breaks Integrated commissioning - children's</v>
      </c>
    </row>
    <row r="1227" spans="1:10" x14ac:dyDescent="0.35">
      <c r="A1227" t="str">
        <f t="shared" si="202"/>
        <v>OCT</v>
      </c>
      <c r="B1227" t="str">
        <f t="shared" si="205"/>
        <v>20</v>
      </c>
      <c r="C1227" t="str">
        <f t="shared" si="206"/>
        <v>2020/21</v>
      </c>
      <c r="D1227" t="str">
        <f>"SC DC 215407"</f>
        <v>SC DC 215407</v>
      </c>
      <c r="E1227" t="str">
        <f t="shared" si="207"/>
        <v>SC</v>
      </c>
      <c r="F1227" t="s">
        <v>21</v>
      </c>
      <c r="G1227" t="s">
        <v>22</v>
      </c>
      <c r="H1227">
        <v>95.04</v>
      </c>
      <c r="I1227" t="str">
        <f t="shared" si="204"/>
        <v>The Mayfield Trust</v>
      </c>
      <c r="J1227" t="str">
        <f t="shared" si="203"/>
        <v>Outreach Private Contractors Agency And Contracted Services Short Breaks Integrated commissioning - children's</v>
      </c>
    </row>
    <row r="1228" spans="1:10" x14ac:dyDescent="0.35">
      <c r="A1228" t="str">
        <f t="shared" si="202"/>
        <v>OCT</v>
      </c>
      <c r="B1228" t="str">
        <f t="shared" si="205"/>
        <v>20</v>
      </c>
      <c r="C1228" t="str">
        <f t="shared" si="206"/>
        <v>2020/21</v>
      </c>
      <c r="D1228" t="str">
        <f>"SC DC 215410"</f>
        <v>SC DC 215410</v>
      </c>
      <c r="E1228" t="str">
        <f t="shared" si="207"/>
        <v>SC</v>
      </c>
      <c r="F1228" t="s">
        <v>21</v>
      </c>
      <c r="G1228" t="s">
        <v>22</v>
      </c>
      <c r="H1228">
        <v>570.24</v>
      </c>
      <c r="I1228" t="str">
        <f t="shared" si="204"/>
        <v>The Mayfield Trust</v>
      </c>
      <c r="J1228" t="str">
        <f t="shared" si="203"/>
        <v>Outreach Private Contractors Agency And Contracted Services Short Breaks Integrated commissioning - children's</v>
      </c>
    </row>
    <row r="1229" spans="1:10" x14ac:dyDescent="0.35">
      <c r="A1229" t="str">
        <f t="shared" si="202"/>
        <v>OCT</v>
      </c>
      <c r="B1229" t="str">
        <f t="shared" si="205"/>
        <v>20</v>
      </c>
      <c r="C1229" t="str">
        <f t="shared" si="206"/>
        <v>2020/21</v>
      </c>
      <c r="D1229" t="str">
        <f>"SC DC 215412"</f>
        <v>SC DC 215412</v>
      </c>
      <c r="E1229" t="str">
        <f t="shared" si="207"/>
        <v>SC</v>
      </c>
      <c r="F1229" t="s">
        <v>21</v>
      </c>
      <c r="G1229" t="s">
        <v>22</v>
      </c>
      <c r="H1229">
        <v>570.24</v>
      </c>
      <c r="I1229" t="str">
        <f t="shared" si="204"/>
        <v>The Mayfield Trust</v>
      </c>
      <c r="J1229" t="str">
        <f t="shared" si="203"/>
        <v>Outreach Private Contractors Agency And Contracted Services Short Breaks Integrated commissioning - children's</v>
      </c>
    </row>
    <row r="1230" spans="1:10" x14ac:dyDescent="0.35">
      <c r="A1230" t="str">
        <f t="shared" si="202"/>
        <v>OCT</v>
      </c>
      <c r="B1230" t="str">
        <f t="shared" si="205"/>
        <v>20</v>
      </c>
      <c r="C1230" t="str">
        <f t="shared" si="206"/>
        <v>2020/21</v>
      </c>
      <c r="D1230" t="str">
        <f>"SC DC 215408"</f>
        <v>SC DC 215408</v>
      </c>
      <c r="E1230" t="str">
        <f t="shared" si="207"/>
        <v>SC</v>
      </c>
      <c r="F1230" t="s">
        <v>21</v>
      </c>
      <c r="G1230" t="s">
        <v>22</v>
      </c>
      <c r="H1230">
        <v>190.08</v>
      </c>
      <c r="I1230" t="str">
        <f t="shared" si="204"/>
        <v>The Mayfield Trust</v>
      </c>
      <c r="J1230" t="str">
        <f t="shared" si="203"/>
        <v>Outreach Private Contractors Agency And Contracted Services Short Breaks Integrated commissioning - children's</v>
      </c>
    </row>
    <row r="1231" spans="1:10" x14ac:dyDescent="0.35">
      <c r="A1231" t="str">
        <f t="shared" si="202"/>
        <v>OCT</v>
      </c>
      <c r="B1231" t="str">
        <f t="shared" si="205"/>
        <v>20</v>
      </c>
      <c r="C1231" t="str">
        <f t="shared" si="206"/>
        <v>2020/21</v>
      </c>
      <c r="D1231" t="str">
        <f>"SC DC 215416"</f>
        <v>SC DC 215416</v>
      </c>
      <c r="E1231" t="str">
        <f t="shared" si="207"/>
        <v>SC</v>
      </c>
      <c r="F1231" t="s">
        <v>21</v>
      </c>
      <c r="G1231" t="s">
        <v>22</v>
      </c>
      <c r="H1231">
        <v>855.36</v>
      </c>
      <c r="I1231" t="str">
        <f t="shared" si="204"/>
        <v>The Mayfield Trust</v>
      </c>
      <c r="J1231" t="str">
        <f t="shared" si="203"/>
        <v>Outreach Private Contractors Agency And Contracted Services Short Breaks Integrated commissioning - children's</v>
      </c>
    </row>
    <row r="1232" spans="1:10" x14ac:dyDescent="0.35">
      <c r="A1232" t="str">
        <f t="shared" si="202"/>
        <v>OCT</v>
      </c>
      <c r="B1232" t="str">
        <f t="shared" si="205"/>
        <v>20</v>
      </c>
      <c r="C1232" t="str">
        <f t="shared" si="206"/>
        <v>2020/21</v>
      </c>
      <c r="D1232" t="str">
        <f>"SC DC 215413"</f>
        <v>SC DC 215413</v>
      </c>
      <c r="E1232" t="str">
        <f t="shared" si="207"/>
        <v>SC</v>
      </c>
      <c r="F1232" t="s">
        <v>21</v>
      </c>
      <c r="G1232" t="s">
        <v>22</v>
      </c>
      <c r="H1232">
        <v>285.12</v>
      </c>
      <c r="I1232" t="str">
        <f t="shared" si="204"/>
        <v>The Mayfield Trust</v>
      </c>
      <c r="J1232" t="str">
        <f t="shared" si="203"/>
        <v>Outreach Private Contractors Agency And Contracted Services Short Breaks Integrated commissioning - children's</v>
      </c>
    </row>
    <row r="1233" spans="1:10" x14ac:dyDescent="0.35">
      <c r="A1233" t="str">
        <f t="shared" si="202"/>
        <v>OCT</v>
      </c>
      <c r="B1233" t="str">
        <f t="shared" si="205"/>
        <v>20</v>
      </c>
      <c r="C1233" t="str">
        <f t="shared" si="206"/>
        <v>2020/21</v>
      </c>
      <c r="D1233" t="str">
        <f>"SC DC 215409"</f>
        <v>SC DC 215409</v>
      </c>
      <c r="E1233" t="str">
        <f t="shared" si="207"/>
        <v>SC</v>
      </c>
      <c r="F1233" t="s">
        <v>21</v>
      </c>
      <c r="G1233" t="s">
        <v>22</v>
      </c>
      <c r="H1233">
        <v>570.24</v>
      </c>
      <c r="I1233" t="str">
        <f t="shared" si="204"/>
        <v>The Mayfield Trust</v>
      </c>
      <c r="J1233" t="str">
        <f t="shared" si="203"/>
        <v>Outreach Private Contractors Agency And Contracted Services Short Breaks Integrated commissioning - children's</v>
      </c>
    </row>
    <row r="1234" spans="1:10" x14ac:dyDescent="0.35">
      <c r="A1234" t="str">
        <f t="shared" si="202"/>
        <v>OCT</v>
      </c>
      <c r="B1234" t="str">
        <f t="shared" si="205"/>
        <v>20</v>
      </c>
      <c r="C1234" t="str">
        <f t="shared" si="206"/>
        <v>2020/21</v>
      </c>
      <c r="D1234" t="str">
        <f>"SC DC 215411"</f>
        <v>SC DC 215411</v>
      </c>
      <c r="E1234" t="str">
        <f t="shared" si="207"/>
        <v>SC</v>
      </c>
      <c r="F1234" t="s">
        <v>21</v>
      </c>
      <c r="G1234" t="s">
        <v>22</v>
      </c>
      <c r="H1234">
        <v>119.68</v>
      </c>
      <c r="I1234" t="str">
        <f t="shared" si="204"/>
        <v>The Mayfield Trust</v>
      </c>
      <c r="J1234" t="str">
        <f t="shared" si="203"/>
        <v>Outreach Private Contractors Agency And Contracted Services Short Breaks Integrated commissioning - children's</v>
      </c>
    </row>
    <row r="1235" spans="1:10" x14ac:dyDescent="0.35">
      <c r="A1235" t="str">
        <f t="shared" si="202"/>
        <v>OCT</v>
      </c>
      <c r="B1235" t="str">
        <f t="shared" si="205"/>
        <v>20</v>
      </c>
      <c r="C1235" t="str">
        <f t="shared" si="206"/>
        <v>2020/21</v>
      </c>
      <c r="D1235" t="str">
        <f>"CE PH 014108"</f>
        <v>CE PH 014108</v>
      </c>
      <c r="E1235" t="str">
        <f t="shared" si="207"/>
        <v>CE</v>
      </c>
      <c r="F1235" t="s">
        <v>23</v>
      </c>
      <c r="G1235" t="s">
        <v>24</v>
      </c>
      <c r="H1235">
        <v>23653</v>
      </c>
      <c r="I1235" t="str">
        <f>"The Brunswick Centre"</f>
        <v>The Brunswick Centre</v>
      </c>
      <c r="J1235" t="str">
        <f>"Brunswick HIV work Private Contractors Agency And Contracted Services Sexual Health Public Health"</f>
        <v>Brunswick HIV work Private Contractors Agency And Contracted Services Sexual Health Public Health</v>
      </c>
    </row>
    <row r="1236" spans="1:10" x14ac:dyDescent="0.35">
      <c r="A1236" t="str">
        <f t="shared" si="202"/>
        <v>OCT</v>
      </c>
      <c r="B1236" t="str">
        <f t="shared" si="205"/>
        <v>20</v>
      </c>
      <c r="C1236" t="str">
        <f t="shared" si="206"/>
        <v>2020/21</v>
      </c>
      <c r="D1236" t="str">
        <f>"CE PH 014245"</f>
        <v>CE PH 014245</v>
      </c>
      <c r="E1236" t="str">
        <f t="shared" si="207"/>
        <v>CE</v>
      </c>
      <c r="F1236" t="s">
        <v>23</v>
      </c>
      <c r="G1236" t="s">
        <v>24</v>
      </c>
      <c r="H1236">
        <v>599</v>
      </c>
      <c r="I1236" t="str">
        <f t="shared" ref="I1236:I1241" si="208">"Locala Community Partnerships CIC"</f>
        <v>Locala Community Partnerships CIC</v>
      </c>
      <c r="J1236" t="str">
        <f t="shared" ref="J1236:J1243" si="209">"Out of area GUM Private Contractors Agency And Contracted Services Sexual Health Public Health"</f>
        <v>Out of area GUM Private Contractors Agency And Contracted Services Sexual Health Public Health</v>
      </c>
    </row>
    <row r="1237" spans="1:10" x14ac:dyDescent="0.35">
      <c r="A1237" t="str">
        <f t="shared" si="202"/>
        <v>OCT</v>
      </c>
      <c r="B1237" t="str">
        <f t="shared" si="205"/>
        <v>20</v>
      </c>
      <c r="C1237" t="str">
        <f t="shared" si="206"/>
        <v>2020/21</v>
      </c>
      <c r="D1237" t="str">
        <f>"CE PH 014244"</f>
        <v>CE PH 014244</v>
      </c>
      <c r="E1237" t="str">
        <f t="shared" si="207"/>
        <v>CE</v>
      </c>
      <c r="F1237" t="s">
        <v>23</v>
      </c>
      <c r="G1237" t="s">
        <v>24</v>
      </c>
      <c r="H1237">
        <v>579</v>
      </c>
      <c r="I1237" t="str">
        <f t="shared" si="208"/>
        <v>Locala Community Partnerships CIC</v>
      </c>
      <c r="J1237" t="str">
        <f t="shared" si="209"/>
        <v>Out of area GUM Private Contractors Agency And Contracted Services Sexual Health Public Health</v>
      </c>
    </row>
    <row r="1238" spans="1:10" x14ac:dyDescent="0.35">
      <c r="A1238" t="str">
        <f t="shared" si="202"/>
        <v>OCT</v>
      </c>
      <c r="B1238" t="str">
        <f t="shared" si="205"/>
        <v>20</v>
      </c>
      <c r="C1238" t="str">
        <f t="shared" si="206"/>
        <v>2020/21</v>
      </c>
      <c r="D1238" t="str">
        <f>"CE PH 014252"</f>
        <v>CE PH 014252</v>
      </c>
      <c r="E1238" t="str">
        <f t="shared" si="207"/>
        <v>CE</v>
      </c>
      <c r="F1238" t="s">
        <v>23</v>
      </c>
      <c r="G1238" t="s">
        <v>24</v>
      </c>
      <c r="H1238">
        <v>1922</v>
      </c>
      <c r="I1238" t="str">
        <f t="shared" si="208"/>
        <v>Locala Community Partnerships CIC</v>
      </c>
      <c r="J1238" t="str">
        <f t="shared" si="209"/>
        <v>Out of area GUM Private Contractors Agency And Contracted Services Sexual Health Public Health</v>
      </c>
    </row>
    <row r="1239" spans="1:10" x14ac:dyDescent="0.35">
      <c r="A1239" t="str">
        <f t="shared" si="202"/>
        <v>OCT</v>
      </c>
      <c r="B1239" t="str">
        <f t="shared" si="205"/>
        <v>20</v>
      </c>
      <c r="C1239" t="str">
        <f t="shared" si="206"/>
        <v>2020/21</v>
      </c>
      <c r="D1239" t="str">
        <f>"CE PH 014253"</f>
        <v>CE PH 014253</v>
      </c>
      <c r="E1239" t="str">
        <f t="shared" si="207"/>
        <v>CE</v>
      </c>
      <c r="F1239" t="s">
        <v>23</v>
      </c>
      <c r="G1239" t="s">
        <v>24</v>
      </c>
      <c r="H1239">
        <v>99</v>
      </c>
      <c r="I1239" t="str">
        <f t="shared" si="208"/>
        <v>Locala Community Partnerships CIC</v>
      </c>
      <c r="J1239" t="str">
        <f t="shared" si="209"/>
        <v>Out of area GUM Private Contractors Agency And Contracted Services Sexual Health Public Health</v>
      </c>
    </row>
    <row r="1240" spans="1:10" x14ac:dyDescent="0.35">
      <c r="A1240" t="str">
        <f t="shared" si="202"/>
        <v>OCT</v>
      </c>
      <c r="B1240" t="str">
        <f t="shared" si="205"/>
        <v>20</v>
      </c>
      <c r="C1240" t="str">
        <f t="shared" si="206"/>
        <v>2020/21</v>
      </c>
      <c r="D1240" t="str">
        <f>"CE PH 014261"</f>
        <v>CE PH 014261</v>
      </c>
      <c r="E1240" t="str">
        <f t="shared" si="207"/>
        <v>CE</v>
      </c>
      <c r="F1240" t="s">
        <v>23</v>
      </c>
      <c r="G1240" t="s">
        <v>24</v>
      </c>
      <c r="H1240">
        <v>1422</v>
      </c>
      <c r="I1240" t="str">
        <f t="shared" si="208"/>
        <v>Locala Community Partnerships CIC</v>
      </c>
      <c r="J1240" t="str">
        <f t="shared" si="209"/>
        <v>Out of area GUM Private Contractors Agency And Contracted Services Sexual Health Public Health</v>
      </c>
    </row>
    <row r="1241" spans="1:10" x14ac:dyDescent="0.35">
      <c r="A1241" t="str">
        <f t="shared" si="202"/>
        <v>OCT</v>
      </c>
      <c r="B1241" t="str">
        <f t="shared" si="205"/>
        <v>20</v>
      </c>
      <c r="C1241" t="str">
        <f t="shared" si="206"/>
        <v>2020/21</v>
      </c>
      <c r="D1241" t="str">
        <f>"CE PH 014260"</f>
        <v>CE PH 014260</v>
      </c>
      <c r="E1241" t="str">
        <f t="shared" si="207"/>
        <v>CE</v>
      </c>
      <c r="F1241" t="s">
        <v>23</v>
      </c>
      <c r="G1241" t="s">
        <v>24</v>
      </c>
      <c r="H1241">
        <v>349</v>
      </c>
      <c r="I1241" t="str">
        <f t="shared" si="208"/>
        <v>Locala Community Partnerships CIC</v>
      </c>
      <c r="J1241" t="str">
        <f t="shared" si="209"/>
        <v>Out of area GUM Private Contractors Agency And Contracted Services Sexual Health Public Health</v>
      </c>
    </row>
    <row r="1242" spans="1:10" x14ac:dyDescent="0.35">
      <c r="A1242" t="str">
        <f t="shared" si="202"/>
        <v>OCT</v>
      </c>
      <c r="B1242" t="str">
        <f t="shared" si="205"/>
        <v>20</v>
      </c>
      <c r="C1242" t="str">
        <f t="shared" si="206"/>
        <v>2020/21</v>
      </c>
      <c r="D1242" t="str">
        <f>"CE PH 014251"</f>
        <v>CE PH 014251</v>
      </c>
      <c r="E1242" t="str">
        <f t="shared" si="207"/>
        <v>CE</v>
      </c>
      <c r="F1242" t="s">
        <v>23</v>
      </c>
      <c r="G1242" t="s">
        <v>24</v>
      </c>
      <c r="H1242">
        <v>99</v>
      </c>
      <c r="I1242" t="str">
        <f>"Spectrum Community Health CIC"</f>
        <v>Spectrum Community Health CIC</v>
      </c>
      <c r="J1242" t="str">
        <f t="shared" si="209"/>
        <v>Out of area GUM Private Contractors Agency And Contracted Services Sexual Health Public Health</v>
      </c>
    </row>
    <row r="1243" spans="1:10" x14ac:dyDescent="0.35">
      <c r="A1243" t="str">
        <f t="shared" si="202"/>
        <v>OCT</v>
      </c>
      <c r="B1243" t="str">
        <f t="shared" si="205"/>
        <v>20</v>
      </c>
      <c r="C1243" t="str">
        <f t="shared" si="206"/>
        <v>2020/21</v>
      </c>
      <c r="D1243" t="str">
        <f>"CE PH 014267"</f>
        <v>CE PH 014267</v>
      </c>
      <c r="E1243" t="str">
        <f t="shared" si="207"/>
        <v>CE</v>
      </c>
      <c r="F1243" t="s">
        <v>23</v>
      </c>
      <c r="G1243" t="s">
        <v>24</v>
      </c>
      <c r="H1243">
        <v>99</v>
      </c>
      <c r="I1243" t="str">
        <f>"Spectrum Community Health CIC"</f>
        <v>Spectrum Community Health CIC</v>
      </c>
      <c r="J1243" t="str">
        <f t="shared" si="209"/>
        <v>Out of area GUM Private Contractors Agency And Contracted Services Sexual Health Public Health</v>
      </c>
    </row>
    <row r="1244" spans="1:10" x14ac:dyDescent="0.35">
      <c r="A1244" t="str">
        <f t="shared" si="202"/>
        <v>OCT</v>
      </c>
      <c r="B1244" t="str">
        <f t="shared" si="205"/>
        <v>20</v>
      </c>
      <c r="C1244" t="str">
        <f t="shared" si="206"/>
        <v>2020/21</v>
      </c>
      <c r="D1244" t="str">
        <f>"CE PH 014115"</f>
        <v>CE PH 014115</v>
      </c>
      <c r="E1244" t="str">
        <f t="shared" si="207"/>
        <v>CE</v>
      </c>
      <c r="F1244" t="s">
        <v>23</v>
      </c>
      <c r="G1244" t="s">
        <v>24</v>
      </c>
      <c r="H1244">
        <v>292505.59000000003</v>
      </c>
      <c r="I1244" t="str">
        <f>"Locala Community Partnerships CIC"</f>
        <v>Locala Community Partnerships CIC</v>
      </c>
      <c r="J1244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1245" spans="1:10" x14ac:dyDescent="0.35">
      <c r="A1245" t="str">
        <f t="shared" si="202"/>
        <v>OCT</v>
      </c>
      <c r="B1245" t="str">
        <f t="shared" si="205"/>
        <v>20</v>
      </c>
      <c r="C1245" t="str">
        <f t="shared" si="206"/>
        <v>2020/21</v>
      </c>
      <c r="D1245" t="str">
        <f>"SS FD 113782"</f>
        <v>SS FD 113782</v>
      </c>
      <c r="E1245" t="str">
        <f t="shared" si="207"/>
        <v>SS</v>
      </c>
      <c r="F1245" t="s">
        <v>25</v>
      </c>
      <c r="G1245" t="s">
        <v>22</v>
      </c>
      <c r="H1245">
        <v>247.2</v>
      </c>
      <c r="I1245" t="str">
        <f>"Carers Trust Mid Yorkshire"</f>
        <v>Carers Trust Mid Yorkshire</v>
      </c>
      <c r="J1245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246" spans="1:10" x14ac:dyDescent="0.35">
      <c r="A1246" t="str">
        <f t="shared" ref="A1246:A1309" si="210">"OCT"</f>
        <v>OCT</v>
      </c>
      <c r="B1246" t="str">
        <f t="shared" si="205"/>
        <v>20</v>
      </c>
      <c r="C1246" t="str">
        <f t="shared" si="206"/>
        <v>2020/21</v>
      </c>
      <c r="D1246" t="str">
        <f>"SS FD 113786"</f>
        <v>SS FD 113786</v>
      </c>
      <c r="E1246" t="str">
        <f t="shared" si="207"/>
        <v>SS</v>
      </c>
      <c r="F1246" t="s">
        <v>25</v>
      </c>
      <c r="G1246" t="s">
        <v>22</v>
      </c>
      <c r="H1246">
        <v>2181.48</v>
      </c>
      <c r="I1246" t="str">
        <f>"Helping Hands (HX)"</f>
        <v>Helping Hands (HX)</v>
      </c>
      <c r="J1246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247" spans="1:10" x14ac:dyDescent="0.35">
      <c r="A1247" t="str">
        <f t="shared" si="210"/>
        <v>OCT</v>
      </c>
      <c r="B1247" t="str">
        <f t="shared" si="205"/>
        <v>20</v>
      </c>
      <c r="C1247" t="str">
        <f t="shared" si="206"/>
        <v>2020/21</v>
      </c>
      <c r="D1247" t="str">
        <f>"SS FD 113790"</f>
        <v>SS FD 113790</v>
      </c>
      <c r="E1247" t="str">
        <f t="shared" si="207"/>
        <v>SS</v>
      </c>
      <c r="F1247" t="s">
        <v>25</v>
      </c>
      <c r="G1247" t="s">
        <v>22</v>
      </c>
      <c r="H1247">
        <v>4228.1899999999996</v>
      </c>
      <c r="I1247" t="str">
        <f>"The Hive (Halifax) Ltd"</f>
        <v>The Hive (Halifax) Ltd</v>
      </c>
      <c r="J1247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248" spans="1:10" x14ac:dyDescent="0.35">
      <c r="A1248" t="str">
        <f t="shared" si="210"/>
        <v>OCT</v>
      </c>
      <c r="B1248" t="str">
        <f t="shared" si="205"/>
        <v>20</v>
      </c>
      <c r="C1248" t="str">
        <f t="shared" si="206"/>
        <v>2020/21</v>
      </c>
      <c r="D1248" t="str">
        <f>"SS FD 113780"</f>
        <v>SS FD 113780</v>
      </c>
      <c r="E1248" t="str">
        <f t="shared" si="207"/>
        <v>SS</v>
      </c>
      <c r="F1248" t="s">
        <v>25</v>
      </c>
      <c r="G1248" t="s">
        <v>22</v>
      </c>
      <c r="H1248">
        <v>110933.36</v>
      </c>
      <c r="I1248" t="str">
        <f>"The Next Step Trust"</f>
        <v>The Next Step Trust</v>
      </c>
      <c r="J1248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249" spans="1:10" x14ac:dyDescent="0.35">
      <c r="A1249" t="str">
        <f t="shared" si="210"/>
        <v>OCT</v>
      </c>
      <c r="B1249" t="str">
        <f t="shared" si="205"/>
        <v>20</v>
      </c>
      <c r="C1249" t="str">
        <f t="shared" si="206"/>
        <v>2020/21</v>
      </c>
      <c r="D1249" t="str">
        <f>"SS FD 113789"</f>
        <v>SS FD 113789</v>
      </c>
      <c r="E1249" t="str">
        <f t="shared" si="207"/>
        <v>SS</v>
      </c>
      <c r="F1249" t="s">
        <v>25</v>
      </c>
      <c r="G1249" t="s">
        <v>22</v>
      </c>
      <c r="H1249">
        <v>37914.25</v>
      </c>
      <c r="I1249" t="str">
        <f>"Pennine Magpie"</f>
        <v>Pennine Magpie</v>
      </c>
      <c r="J1249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250" spans="1:10" x14ac:dyDescent="0.35">
      <c r="A1250" t="str">
        <f t="shared" si="210"/>
        <v>OCT</v>
      </c>
      <c r="B1250" t="str">
        <f t="shared" si="205"/>
        <v>20</v>
      </c>
      <c r="C1250" t="str">
        <f t="shared" si="206"/>
        <v>2020/21</v>
      </c>
      <c r="D1250" t="str">
        <f>"HS TA 016908"</f>
        <v>HS TA 016908</v>
      </c>
      <c r="E1250" t="str">
        <f t="shared" si="207"/>
        <v>HS</v>
      </c>
      <c r="F1250" t="s">
        <v>26</v>
      </c>
      <c r="G1250" t="s">
        <v>18</v>
      </c>
      <c r="H1250">
        <v>33230.36</v>
      </c>
      <c r="I1250" t="str">
        <f>"Christians Together Calderdale"</f>
        <v>Christians Together Calderdale</v>
      </c>
      <c r="J1250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1251" spans="1:10" x14ac:dyDescent="0.35">
      <c r="A1251" t="str">
        <f t="shared" si="210"/>
        <v>OCT</v>
      </c>
      <c r="B1251" t="str">
        <f t="shared" si="205"/>
        <v>20</v>
      </c>
      <c r="C1251" t="str">
        <f t="shared" si="206"/>
        <v>2020/21</v>
      </c>
      <c r="D1251" t="str">
        <f>"HS TA 016870"</f>
        <v>HS TA 016870</v>
      </c>
      <c r="E1251" t="str">
        <f t="shared" si="207"/>
        <v>HS</v>
      </c>
      <c r="F1251" t="s">
        <v>26</v>
      </c>
      <c r="G1251" t="s">
        <v>18</v>
      </c>
      <c r="H1251">
        <v>110</v>
      </c>
      <c r="I1251" t="str">
        <f>"Sure Start North Halifax"</f>
        <v>Sure Start North Halifax</v>
      </c>
      <c r="J1251" t="str">
        <f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1252" spans="1:10" x14ac:dyDescent="0.35">
      <c r="A1252" t="str">
        <f t="shared" si="210"/>
        <v>OCT</v>
      </c>
      <c r="B1252" t="str">
        <f t="shared" si="205"/>
        <v>20</v>
      </c>
      <c r="C1252" t="str">
        <f t="shared" si="206"/>
        <v>2020/21</v>
      </c>
      <c r="D1252" t="str">
        <f>"HS TA 016869"</f>
        <v>HS TA 016869</v>
      </c>
      <c r="E1252" t="str">
        <f t="shared" si="207"/>
        <v>HS</v>
      </c>
      <c r="F1252" t="s">
        <v>26</v>
      </c>
      <c r="G1252" t="s">
        <v>18</v>
      </c>
      <c r="H1252">
        <v>137.5</v>
      </c>
      <c r="I1252" t="str">
        <f>"Sure Start North Halifax"</f>
        <v>Sure Start North Halifax</v>
      </c>
      <c r="J1252" t="str">
        <f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1253" spans="1:10" x14ac:dyDescent="0.35">
      <c r="A1253" t="str">
        <f t="shared" si="210"/>
        <v>OCT</v>
      </c>
      <c r="B1253" t="str">
        <f t="shared" si="205"/>
        <v>20</v>
      </c>
      <c r="C1253" t="str">
        <f t="shared" si="206"/>
        <v>2020/21</v>
      </c>
      <c r="D1253" t="str">
        <f>"HS TA 016923"</f>
        <v>HS TA 016923</v>
      </c>
      <c r="E1253" t="str">
        <f t="shared" si="207"/>
        <v>HS</v>
      </c>
      <c r="F1253" t="s">
        <v>26</v>
      </c>
      <c r="G1253" t="s">
        <v>18</v>
      </c>
      <c r="H1253">
        <v>440</v>
      </c>
      <c r="I1253" t="str">
        <f>"Sure Start North Halifax"</f>
        <v>Sure Start North Halifax</v>
      </c>
      <c r="J1253" t="str">
        <f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1254" spans="1:10" x14ac:dyDescent="0.35">
      <c r="A1254" t="str">
        <f t="shared" si="210"/>
        <v>OCT</v>
      </c>
      <c r="B1254" t="str">
        <f t="shared" si="205"/>
        <v>20</v>
      </c>
      <c r="C1254" t="str">
        <f t="shared" si="206"/>
        <v>2020/21</v>
      </c>
      <c r="D1254" t="str">
        <f>"HS TA 016871"</f>
        <v>HS TA 016871</v>
      </c>
      <c r="E1254" t="str">
        <f t="shared" si="207"/>
        <v>HS</v>
      </c>
      <c r="F1254" t="s">
        <v>26</v>
      </c>
      <c r="G1254" t="s">
        <v>18</v>
      </c>
      <c r="H1254">
        <v>440</v>
      </c>
      <c r="I1254" t="str">
        <f>"Sure Start North Halifax"</f>
        <v>Sure Start North Halifax</v>
      </c>
      <c r="J1254" t="str">
        <f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1255" spans="1:10" x14ac:dyDescent="0.35">
      <c r="A1255" t="str">
        <f t="shared" si="210"/>
        <v>OCT</v>
      </c>
      <c r="B1255" t="str">
        <f t="shared" si="205"/>
        <v>20</v>
      </c>
      <c r="C1255" t="str">
        <f t="shared" si="206"/>
        <v>2020/21</v>
      </c>
      <c r="D1255" t="str">
        <f>"HS TA 016868"</f>
        <v>HS TA 016868</v>
      </c>
      <c r="E1255" t="str">
        <f t="shared" si="207"/>
        <v>HS</v>
      </c>
      <c r="F1255" t="s">
        <v>26</v>
      </c>
      <c r="G1255" t="s">
        <v>18</v>
      </c>
      <c r="H1255">
        <v>440</v>
      </c>
      <c r="I1255" t="str">
        <f>"Sure Start North Halifax"</f>
        <v>Sure Start North Halifax</v>
      </c>
      <c r="J1255" t="str">
        <f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1256" spans="1:10" x14ac:dyDescent="0.35">
      <c r="A1256" t="str">
        <f t="shared" si="210"/>
        <v>OCT</v>
      </c>
      <c r="B1256" t="str">
        <f t="shared" si="205"/>
        <v>20</v>
      </c>
      <c r="C1256" t="str">
        <f t="shared" si="206"/>
        <v>2020/21</v>
      </c>
      <c r="D1256" t="str">
        <f>"EG FR 065043"</f>
        <v>EG FR 065043</v>
      </c>
      <c r="E1256" t="str">
        <f t="shared" si="207"/>
        <v>EG</v>
      </c>
      <c r="F1256" t="s">
        <v>28</v>
      </c>
      <c r="G1256" t="s">
        <v>18</v>
      </c>
      <c r="H1256">
        <v>385.5</v>
      </c>
      <c r="I1256" t="str">
        <f>"Hebden Bridge Flood Action Group"</f>
        <v>Hebden Bridge Flood Action Group</v>
      </c>
      <c r="J1256" t="str">
        <f>"Flood Groups &amp; Supplies Services Supplies And Services LLFA Works Budgets Highways and Engineering Services"</f>
        <v>Flood Groups &amp; Supplies Services Supplies And Services LLFA Works Budgets Highways and Engineering Services</v>
      </c>
    </row>
    <row r="1257" spans="1:10" x14ac:dyDescent="0.35">
      <c r="A1257" t="str">
        <f t="shared" si="210"/>
        <v>OCT</v>
      </c>
      <c r="B1257" t="str">
        <f t="shared" si="205"/>
        <v>20</v>
      </c>
      <c r="C1257" t="str">
        <f t="shared" si="206"/>
        <v>2020/21</v>
      </c>
      <c r="D1257" t="str">
        <f>"SC YS 215908"</f>
        <v>SC YS 215908</v>
      </c>
      <c r="E1257" t="str">
        <f t="shared" si="207"/>
        <v>SC</v>
      </c>
      <c r="F1257" t="s">
        <v>31</v>
      </c>
      <c r="G1257" t="s">
        <v>30</v>
      </c>
      <c r="H1257">
        <v>4125</v>
      </c>
      <c r="I1257" t="str">
        <f>"North Halifax Youth &amp; Community Group"</f>
        <v>North Halifax Youth &amp; Community Group</v>
      </c>
      <c r="J1257" t="str">
        <f>"Programme Costs Miscellaneous Expenses Supplies And Services North Halifax Youth &amp; Community Group Schools and Children's Services - Non-School"</f>
        <v>Programme Costs Miscellaneous Expenses Supplies And Services North Halifax Youth &amp; Community Group Schools and Children's Services - Non-School</v>
      </c>
    </row>
    <row r="1258" spans="1:10" x14ac:dyDescent="0.35">
      <c r="A1258" t="str">
        <f t="shared" si="210"/>
        <v>OCT</v>
      </c>
      <c r="B1258" t="str">
        <f t="shared" si="205"/>
        <v>20</v>
      </c>
      <c r="C1258" t="str">
        <f t="shared" si="206"/>
        <v>2020/21</v>
      </c>
      <c r="D1258" t="str">
        <f>"SC EY 217334"</f>
        <v>SC EY 217334</v>
      </c>
      <c r="E1258" t="str">
        <f t="shared" si="207"/>
        <v>SC</v>
      </c>
      <c r="F1258" t="s">
        <v>32</v>
      </c>
      <c r="G1258" t="s">
        <v>30</v>
      </c>
      <c r="H1258">
        <v>535.5</v>
      </c>
      <c r="I1258" t="str">
        <f>"Creations Community Childrens Centre"</f>
        <v>Creations Community Childrens Centre</v>
      </c>
      <c r="J1258" t="str">
        <f t="shared" ref="J1258:J1265" si="211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1259" spans="1:10" x14ac:dyDescent="0.35">
      <c r="A1259" t="str">
        <f t="shared" si="210"/>
        <v>OCT</v>
      </c>
      <c r="B1259" t="str">
        <f t="shared" si="205"/>
        <v>20</v>
      </c>
      <c r="C1259" t="str">
        <f t="shared" si="206"/>
        <v>2020/21</v>
      </c>
      <c r="D1259" t="str">
        <f>"SC EY 217339"</f>
        <v>SC EY 217339</v>
      </c>
      <c r="E1259" t="str">
        <f t="shared" si="207"/>
        <v>SC</v>
      </c>
      <c r="F1259" t="s">
        <v>32</v>
      </c>
      <c r="G1259" t="s">
        <v>30</v>
      </c>
      <c r="H1259">
        <v>936</v>
      </c>
      <c r="I1259" t="str">
        <f>"Innovations Children's Centre"</f>
        <v>Innovations Children's Centre</v>
      </c>
      <c r="J1259" t="str">
        <f t="shared" si="211"/>
        <v>Access to Support provision Other Agency And Contracted Services Agency And Contracted Services Early Intervention Childcare Funding Childrens S</v>
      </c>
    </row>
    <row r="1260" spans="1:10" x14ac:dyDescent="0.35">
      <c r="A1260" t="str">
        <f t="shared" si="210"/>
        <v>OCT</v>
      </c>
      <c r="B1260" t="str">
        <f t="shared" si="205"/>
        <v>20</v>
      </c>
      <c r="C1260" t="str">
        <f t="shared" si="206"/>
        <v>2020/21</v>
      </c>
      <c r="D1260" t="str">
        <f>"SC EY 217340"</f>
        <v>SC EY 217340</v>
      </c>
      <c r="E1260" t="str">
        <f t="shared" si="207"/>
        <v>SC</v>
      </c>
      <c r="F1260" t="s">
        <v>32</v>
      </c>
      <c r="G1260" t="s">
        <v>30</v>
      </c>
      <c r="H1260">
        <v>1718</v>
      </c>
      <c r="I1260" t="str">
        <f>"Jubilee Children's Centre"</f>
        <v>Jubilee Children's Centre</v>
      </c>
      <c r="J1260" t="str">
        <f t="shared" si="211"/>
        <v>Access to Support provision Other Agency And Contracted Services Agency And Contracted Services Early Intervention Childcare Funding Childrens S</v>
      </c>
    </row>
    <row r="1261" spans="1:10" x14ac:dyDescent="0.35">
      <c r="A1261" t="str">
        <f t="shared" si="210"/>
        <v>OCT</v>
      </c>
      <c r="B1261" t="str">
        <f t="shared" si="205"/>
        <v>20</v>
      </c>
      <c r="C1261" t="str">
        <f t="shared" si="206"/>
        <v>2020/21</v>
      </c>
      <c r="D1261" t="str">
        <f>"SC EY 217332"</f>
        <v>SC EY 217332</v>
      </c>
      <c r="E1261" t="str">
        <f t="shared" si="207"/>
        <v>SC</v>
      </c>
      <c r="F1261" t="s">
        <v>32</v>
      </c>
      <c r="G1261" t="s">
        <v>30</v>
      </c>
      <c r="H1261">
        <v>370</v>
      </c>
      <c r="I1261" t="str">
        <f>"Ash Green Childrens Centre"</f>
        <v>Ash Green Childrens Centre</v>
      </c>
      <c r="J1261" t="str">
        <f t="shared" si="211"/>
        <v>Access to Support provision Other Agency And Contracted Services Agency And Contracted Services Early Intervention Childcare Funding Childrens S</v>
      </c>
    </row>
    <row r="1262" spans="1:10" x14ac:dyDescent="0.35">
      <c r="A1262" t="str">
        <f t="shared" si="210"/>
        <v>OCT</v>
      </c>
      <c r="B1262" t="str">
        <f t="shared" si="205"/>
        <v>20</v>
      </c>
      <c r="C1262" t="str">
        <f t="shared" si="206"/>
        <v>2020/21</v>
      </c>
      <c r="D1262" t="str">
        <f>"SC EY 217341"</f>
        <v>SC EY 217341</v>
      </c>
      <c r="E1262" t="str">
        <f t="shared" si="207"/>
        <v>SC</v>
      </c>
      <c r="F1262" t="s">
        <v>32</v>
      </c>
      <c r="G1262" t="s">
        <v>30</v>
      </c>
      <c r="H1262">
        <v>1588</v>
      </c>
      <c r="I1262" t="str">
        <f>"Kevin Pearce Childrens Centre"</f>
        <v>Kevin Pearce Childrens Centre</v>
      </c>
      <c r="J1262" t="str">
        <f t="shared" si="211"/>
        <v>Access to Support provision Other Agency And Contracted Services Agency And Contracted Services Early Intervention Childcare Funding Childrens S</v>
      </c>
    </row>
    <row r="1263" spans="1:10" x14ac:dyDescent="0.35">
      <c r="A1263" t="str">
        <f t="shared" si="210"/>
        <v>OCT</v>
      </c>
      <c r="B1263" t="str">
        <f t="shared" si="205"/>
        <v>20</v>
      </c>
      <c r="C1263" t="str">
        <f t="shared" si="206"/>
        <v>2020/21</v>
      </c>
      <c r="D1263" t="str">
        <f>"SC EY 217342"</f>
        <v>SC EY 217342</v>
      </c>
      <c r="E1263" t="str">
        <f t="shared" si="207"/>
        <v>SC</v>
      </c>
      <c r="F1263" t="s">
        <v>32</v>
      </c>
      <c r="G1263" t="s">
        <v>30</v>
      </c>
      <c r="H1263">
        <v>738</v>
      </c>
      <c r="I1263" t="str">
        <f>"Siddal Children's Centre"</f>
        <v>Siddal Children's Centre</v>
      </c>
      <c r="J1263" t="str">
        <f t="shared" si="211"/>
        <v>Access to Support provision Other Agency And Contracted Services Agency And Contracted Services Early Intervention Childcare Funding Childrens S</v>
      </c>
    </row>
    <row r="1264" spans="1:10" x14ac:dyDescent="0.35">
      <c r="A1264" t="str">
        <f t="shared" si="210"/>
        <v>OCT</v>
      </c>
      <c r="B1264" t="str">
        <f t="shared" si="205"/>
        <v>20</v>
      </c>
      <c r="C1264" t="str">
        <f t="shared" si="206"/>
        <v>2020/21</v>
      </c>
      <c r="D1264" t="str">
        <f>"SC EY 217346"</f>
        <v>SC EY 217346</v>
      </c>
      <c r="E1264" t="str">
        <f t="shared" si="207"/>
        <v>SC</v>
      </c>
      <c r="F1264" t="s">
        <v>32</v>
      </c>
      <c r="G1264" t="s">
        <v>30</v>
      </c>
      <c r="H1264">
        <v>378</v>
      </c>
      <c r="I1264" t="str">
        <f>"Todmorden Children's Centre"</f>
        <v>Todmorden Children's Centre</v>
      </c>
      <c r="J1264" t="str">
        <f t="shared" si="211"/>
        <v>Access to Support provision Other Agency And Contracted Services Agency And Contracted Services Early Intervention Childcare Funding Childrens S</v>
      </c>
    </row>
    <row r="1265" spans="1:10" x14ac:dyDescent="0.35">
      <c r="A1265" t="str">
        <f t="shared" si="210"/>
        <v>OCT</v>
      </c>
      <c r="B1265" t="str">
        <f t="shared" si="205"/>
        <v>20</v>
      </c>
      <c r="C1265" t="str">
        <f t="shared" si="206"/>
        <v>2020/21</v>
      </c>
      <c r="D1265" t="str">
        <f>"SC EY 217376"</f>
        <v>SC EY 217376</v>
      </c>
      <c r="E1265" t="str">
        <f t="shared" si="207"/>
        <v>SC</v>
      </c>
      <c r="F1265" t="s">
        <v>32</v>
      </c>
      <c r="G1265" t="s">
        <v>30</v>
      </c>
      <c r="H1265">
        <v>421.25</v>
      </c>
      <c r="I1265" t="str">
        <f>"Wellholme Children's Centre"</f>
        <v>Wellholme Children's Centre</v>
      </c>
      <c r="J1265" t="str">
        <f t="shared" si="211"/>
        <v>Access to Support provision Other Agency And Contracted Services Agency And Contracted Services Early Intervention Childcare Funding Childrens S</v>
      </c>
    </row>
    <row r="1266" spans="1:10" x14ac:dyDescent="0.35">
      <c r="A1266" t="str">
        <f t="shared" si="210"/>
        <v>OCT</v>
      </c>
      <c r="B1266" t="str">
        <f t="shared" si="205"/>
        <v>20</v>
      </c>
      <c r="C1266" t="str">
        <f t="shared" si="206"/>
        <v>2020/21</v>
      </c>
      <c r="D1266" t="str">
        <f>"SC EY 217382"</f>
        <v>SC EY 217382</v>
      </c>
      <c r="E1266" t="str">
        <f t="shared" si="207"/>
        <v>SC</v>
      </c>
      <c r="F1266" t="s">
        <v>32</v>
      </c>
      <c r="G1266" t="s">
        <v>30</v>
      </c>
      <c r="H1266">
        <v>828</v>
      </c>
      <c r="I1266" t="str">
        <f>"Creations Community Childrens Centre"</f>
        <v>Creations Community Childrens Centre</v>
      </c>
      <c r="J1266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267" spans="1:10" x14ac:dyDescent="0.35">
      <c r="A1267" t="str">
        <f t="shared" si="210"/>
        <v>OCT</v>
      </c>
      <c r="B1267" t="str">
        <f t="shared" si="205"/>
        <v>20</v>
      </c>
      <c r="C1267" t="str">
        <f t="shared" si="206"/>
        <v>2020/21</v>
      </c>
      <c r="D1267" t="str">
        <f>"SC EY 217382"</f>
        <v>SC EY 217382</v>
      </c>
      <c r="E1267" t="str">
        <f t="shared" si="207"/>
        <v>SC</v>
      </c>
      <c r="F1267" t="s">
        <v>32</v>
      </c>
      <c r="G1267" t="s">
        <v>30</v>
      </c>
      <c r="H1267">
        <v>828</v>
      </c>
      <c r="I1267" t="str">
        <f>"Creations Community Childrens Centre"</f>
        <v>Creations Community Childrens Centre</v>
      </c>
      <c r="J1267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268" spans="1:10" x14ac:dyDescent="0.35">
      <c r="A1268" t="str">
        <f t="shared" si="210"/>
        <v>OCT</v>
      </c>
      <c r="B1268" t="str">
        <f t="shared" si="205"/>
        <v>20</v>
      </c>
      <c r="C1268" t="str">
        <f t="shared" si="206"/>
        <v>2020/21</v>
      </c>
      <c r="D1268" t="str">
        <f>"SC EY 217383"</f>
        <v>SC EY 217383</v>
      </c>
      <c r="E1268" t="str">
        <f t="shared" si="207"/>
        <v>SC</v>
      </c>
      <c r="F1268" t="s">
        <v>32</v>
      </c>
      <c r="G1268" t="s">
        <v>30</v>
      </c>
      <c r="H1268">
        <v>1035</v>
      </c>
      <c r="I1268" t="str">
        <f>"Innovations Children's Centre"</f>
        <v>Innovations Children's Centre</v>
      </c>
      <c r="J1268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269" spans="1:10" x14ac:dyDescent="0.35">
      <c r="A1269" t="str">
        <f t="shared" si="210"/>
        <v>OCT</v>
      </c>
      <c r="B1269" t="str">
        <f t="shared" si="205"/>
        <v>20</v>
      </c>
      <c r="C1269" t="str">
        <f t="shared" si="206"/>
        <v>2020/21</v>
      </c>
      <c r="D1269" t="str">
        <f>"SC EY 217310"</f>
        <v>SC EY 217310</v>
      </c>
      <c r="E1269" t="str">
        <f t="shared" si="207"/>
        <v>SC</v>
      </c>
      <c r="F1269" t="s">
        <v>32</v>
      </c>
      <c r="G1269" t="s">
        <v>30</v>
      </c>
      <c r="H1269">
        <v>972</v>
      </c>
      <c r="I1269" t="str">
        <f>"Todmorden Children's Centre"</f>
        <v>Todmorden Children's Centre</v>
      </c>
      <c r="J1269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270" spans="1:10" x14ac:dyDescent="0.35">
      <c r="A1270" t="str">
        <f t="shared" si="210"/>
        <v>OCT</v>
      </c>
      <c r="B1270" t="str">
        <f t="shared" si="205"/>
        <v>20</v>
      </c>
      <c r="C1270" t="str">
        <f t="shared" si="206"/>
        <v>2020/21</v>
      </c>
      <c r="E1270" t="str">
        <f t="shared" si="207"/>
        <v/>
      </c>
      <c r="F1270" t="s">
        <v>32</v>
      </c>
      <c r="G1270" t="s">
        <v>30</v>
      </c>
      <c r="H1270">
        <v>3906.15</v>
      </c>
      <c r="I1270" t="str">
        <f>"Children's Corner Pre-School Committee"</f>
        <v>Children's Corner Pre-School Committee</v>
      </c>
      <c r="J1270" t="str">
        <f t="shared" ref="J1270:J1287" si="212">"3 Year Old Funding Other Committees Other Committees Of The Council Agency And Contracted Services Nursery Grant Funding Childrens Services Unit"</f>
        <v>3 Year Old Funding Other Committees Other Committees Of The Council Agency And Contracted Services Nursery Grant Funding Childrens Services Unit</v>
      </c>
    </row>
    <row r="1271" spans="1:10" x14ac:dyDescent="0.35">
      <c r="A1271" t="str">
        <f t="shared" si="210"/>
        <v>OCT</v>
      </c>
      <c r="B1271" t="str">
        <f t="shared" si="205"/>
        <v>20</v>
      </c>
      <c r="C1271" t="str">
        <f t="shared" si="206"/>
        <v>2020/21</v>
      </c>
      <c r="E1271" t="str">
        <f t="shared" si="207"/>
        <v/>
      </c>
      <c r="F1271" t="s">
        <v>32</v>
      </c>
      <c r="G1271" t="s">
        <v>30</v>
      </c>
      <c r="H1271">
        <v>4441.5</v>
      </c>
      <c r="I1271" t="str">
        <f>"Calder Valley Steiner School"</f>
        <v>Calder Valley Steiner School</v>
      </c>
      <c r="J1271" t="str">
        <f t="shared" si="212"/>
        <v>3 Year Old Funding Other Committees Other Committees Of The Council Agency And Contracted Services Nursery Grant Funding Childrens Services Unit</v>
      </c>
    </row>
    <row r="1272" spans="1:10" x14ac:dyDescent="0.35">
      <c r="A1272" t="str">
        <f t="shared" si="210"/>
        <v>OCT</v>
      </c>
      <c r="B1272" t="str">
        <f t="shared" si="205"/>
        <v>20</v>
      </c>
      <c r="C1272" t="str">
        <f t="shared" si="206"/>
        <v>2020/21</v>
      </c>
      <c r="E1272" t="str">
        <f t="shared" si="207"/>
        <v/>
      </c>
      <c r="F1272" t="s">
        <v>32</v>
      </c>
      <c r="G1272" t="s">
        <v>30</v>
      </c>
      <c r="H1272">
        <v>6009.36</v>
      </c>
      <c r="I1272" t="str">
        <f>"Colden Pre-School Playgroup"</f>
        <v>Colden Pre-School Playgroup</v>
      </c>
      <c r="J1272" t="str">
        <f t="shared" si="212"/>
        <v>3 Year Old Funding Other Committees Other Committees Of The Council Agency And Contracted Services Nursery Grant Funding Childrens Services Unit</v>
      </c>
    </row>
    <row r="1273" spans="1:10" x14ac:dyDescent="0.35">
      <c r="A1273" t="str">
        <f t="shared" si="210"/>
        <v>OCT</v>
      </c>
      <c r="B1273" t="str">
        <f t="shared" si="205"/>
        <v>20</v>
      </c>
      <c r="C1273" t="str">
        <f t="shared" si="206"/>
        <v>2020/21</v>
      </c>
      <c r="E1273" t="str">
        <f t="shared" si="207"/>
        <v/>
      </c>
      <c r="F1273" t="s">
        <v>32</v>
      </c>
      <c r="G1273" t="s">
        <v>30</v>
      </c>
      <c r="H1273">
        <v>12347.7</v>
      </c>
      <c r="I1273" t="str">
        <f>"Creations Community Childrens Centre"</f>
        <v>Creations Community Childrens Centre</v>
      </c>
      <c r="J1273" t="str">
        <f t="shared" si="212"/>
        <v>3 Year Old Funding Other Committees Other Committees Of The Council Agency And Contracted Services Nursery Grant Funding Childrens Services Unit</v>
      </c>
    </row>
    <row r="1274" spans="1:10" x14ac:dyDescent="0.35">
      <c r="A1274" t="str">
        <f t="shared" si="210"/>
        <v>OCT</v>
      </c>
      <c r="B1274" t="str">
        <f t="shared" si="205"/>
        <v>20</v>
      </c>
      <c r="C1274" t="str">
        <f t="shared" si="206"/>
        <v>2020/21</v>
      </c>
      <c r="E1274" t="str">
        <f t="shared" si="207"/>
        <v/>
      </c>
      <c r="F1274" t="s">
        <v>32</v>
      </c>
      <c r="G1274" t="s">
        <v>30</v>
      </c>
      <c r="H1274">
        <v>8649.9</v>
      </c>
      <c r="I1274" t="str">
        <f>"Crossley Mill Nursery"</f>
        <v>Crossley Mill Nursery</v>
      </c>
      <c r="J1274" t="str">
        <f t="shared" si="212"/>
        <v>3 Year Old Funding Other Committees Other Committees Of The Council Agency And Contracted Services Nursery Grant Funding Childrens Services Unit</v>
      </c>
    </row>
    <row r="1275" spans="1:10" x14ac:dyDescent="0.35">
      <c r="A1275" t="str">
        <f t="shared" si="210"/>
        <v>OCT</v>
      </c>
      <c r="B1275" t="str">
        <f t="shared" si="205"/>
        <v>20</v>
      </c>
      <c r="C1275" t="str">
        <f t="shared" si="206"/>
        <v>2020/21</v>
      </c>
      <c r="E1275" t="str">
        <f t="shared" si="207"/>
        <v/>
      </c>
      <c r="F1275" t="s">
        <v>32</v>
      </c>
      <c r="G1275" t="s">
        <v>30</v>
      </c>
      <c r="H1275">
        <v>20850.16</v>
      </c>
      <c r="I1275" t="str">
        <f>"Eureka Nursery"</f>
        <v>Eureka Nursery</v>
      </c>
      <c r="J1275" t="str">
        <f t="shared" si="212"/>
        <v>3 Year Old Funding Other Committees Other Committees Of The Council Agency And Contracted Services Nursery Grant Funding Childrens Services Unit</v>
      </c>
    </row>
    <row r="1276" spans="1:10" x14ac:dyDescent="0.35">
      <c r="A1276" t="str">
        <f t="shared" si="210"/>
        <v>OCT</v>
      </c>
      <c r="B1276" t="str">
        <f t="shared" si="205"/>
        <v>20</v>
      </c>
      <c r="C1276" t="str">
        <f t="shared" si="206"/>
        <v>2020/21</v>
      </c>
      <c r="E1276" t="str">
        <f t="shared" si="207"/>
        <v/>
      </c>
      <c r="F1276" t="s">
        <v>32</v>
      </c>
      <c r="G1276" t="s">
        <v>30</v>
      </c>
      <c r="H1276">
        <v>10771.2</v>
      </c>
      <c r="I1276" t="str">
        <f>"Halifax Opportunities Trust"</f>
        <v>Halifax Opportunities Trust</v>
      </c>
      <c r="J1276" t="str">
        <f t="shared" si="212"/>
        <v>3 Year Old Funding Other Committees Other Committees Of The Council Agency And Contracted Services Nursery Grant Funding Childrens Services Unit</v>
      </c>
    </row>
    <row r="1277" spans="1:10" x14ac:dyDescent="0.35">
      <c r="A1277" t="str">
        <f t="shared" si="210"/>
        <v>OCT</v>
      </c>
      <c r="B1277" t="str">
        <f t="shared" si="205"/>
        <v>20</v>
      </c>
      <c r="C1277" t="str">
        <f t="shared" si="206"/>
        <v>2020/21</v>
      </c>
      <c r="E1277" t="str">
        <f t="shared" si="207"/>
        <v/>
      </c>
      <c r="F1277" t="s">
        <v>32</v>
      </c>
      <c r="G1277" t="s">
        <v>30</v>
      </c>
      <c r="H1277">
        <v>8605.65</v>
      </c>
      <c r="I1277" t="str">
        <f>"Innovations Children's Centre"</f>
        <v>Innovations Children's Centre</v>
      </c>
      <c r="J1277" t="str">
        <f t="shared" si="212"/>
        <v>3 Year Old Funding Other Committees Other Committees Of The Council Agency And Contracted Services Nursery Grant Funding Childrens Services Unit</v>
      </c>
    </row>
    <row r="1278" spans="1:10" x14ac:dyDescent="0.35">
      <c r="A1278" t="str">
        <f t="shared" si="210"/>
        <v>OCT</v>
      </c>
      <c r="B1278" t="str">
        <f t="shared" si="205"/>
        <v>20</v>
      </c>
      <c r="C1278" t="str">
        <f t="shared" si="206"/>
        <v>2020/21</v>
      </c>
      <c r="E1278" t="str">
        <f t="shared" si="207"/>
        <v/>
      </c>
      <c r="F1278" t="s">
        <v>32</v>
      </c>
      <c r="G1278" t="s">
        <v>30</v>
      </c>
      <c r="H1278">
        <v>32650.86</v>
      </c>
      <c r="I1278" t="str">
        <f>"Jubilee Children's Centre"</f>
        <v>Jubilee Children's Centre</v>
      </c>
      <c r="J1278" t="str">
        <f t="shared" si="212"/>
        <v>3 Year Old Funding Other Committees Other Committees Of The Council Agency And Contracted Services Nursery Grant Funding Childrens Services Unit</v>
      </c>
    </row>
    <row r="1279" spans="1:10" x14ac:dyDescent="0.35">
      <c r="A1279" t="str">
        <f t="shared" si="210"/>
        <v>OCT</v>
      </c>
      <c r="B1279" t="str">
        <f t="shared" si="205"/>
        <v>20</v>
      </c>
      <c r="C1279" t="str">
        <f t="shared" si="206"/>
        <v>2020/21</v>
      </c>
      <c r="E1279" t="str">
        <f t="shared" si="207"/>
        <v/>
      </c>
      <c r="F1279" t="s">
        <v>32</v>
      </c>
      <c r="G1279" t="s">
        <v>30</v>
      </c>
      <c r="H1279">
        <v>1108.8</v>
      </c>
      <c r="I1279" t="str">
        <f>"Ash Green Childrens Centre"</f>
        <v>Ash Green Childrens Centre</v>
      </c>
      <c r="J1279" t="str">
        <f t="shared" si="212"/>
        <v>3 Year Old Funding Other Committees Other Committees Of The Council Agency And Contracted Services Nursery Grant Funding Childrens Services Unit</v>
      </c>
    </row>
    <row r="1280" spans="1:10" x14ac:dyDescent="0.35">
      <c r="A1280" t="str">
        <f t="shared" si="210"/>
        <v>OCT</v>
      </c>
      <c r="B1280" t="str">
        <f t="shared" si="205"/>
        <v>20</v>
      </c>
      <c r="C1280" t="str">
        <f t="shared" si="206"/>
        <v>2020/21</v>
      </c>
      <c r="E1280" t="str">
        <f t="shared" si="207"/>
        <v/>
      </c>
      <c r="F1280" t="s">
        <v>32</v>
      </c>
      <c r="G1280" t="s">
        <v>30</v>
      </c>
      <c r="H1280">
        <v>3439.26</v>
      </c>
      <c r="I1280" t="str">
        <f>"Kevin Pearce Childrens Centre"</f>
        <v>Kevin Pearce Childrens Centre</v>
      </c>
      <c r="J1280" t="str">
        <f t="shared" si="212"/>
        <v>3 Year Old Funding Other Committees Other Committees Of The Council Agency And Contracted Services Nursery Grant Funding Childrens Services Unit</v>
      </c>
    </row>
    <row r="1281" spans="1:10" x14ac:dyDescent="0.35">
      <c r="A1281" t="str">
        <f t="shared" si="210"/>
        <v>OCT</v>
      </c>
      <c r="B1281" t="str">
        <f t="shared" si="205"/>
        <v>20</v>
      </c>
      <c r="C1281" t="str">
        <f t="shared" si="206"/>
        <v>2020/21</v>
      </c>
      <c r="E1281" t="str">
        <f t="shared" si="207"/>
        <v/>
      </c>
      <c r="F1281" t="s">
        <v>32</v>
      </c>
      <c r="G1281" t="s">
        <v>30</v>
      </c>
      <c r="H1281">
        <v>5192.55</v>
      </c>
      <c r="I1281" t="str">
        <f>"St Augustines Centre"</f>
        <v>St Augustines Centre</v>
      </c>
      <c r="J1281" t="str">
        <f t="shared" si="212"/>
        <v>3 Year Old Funding Other Committees Other Committees Of The Council Agency And Contracted Services Nursery Grant Funding Childrens Services Unit</v>
      </c>
    </row>
    <row r="1282" spans="1:10" x14ac:dyDescent="0.35">
      <c r="A1282" t="str">
        <f t="shared" si="210"/>
        <v>OCT</v>
      </c>
      <c r="B1282" t="str">
        <f t="shared" ref="B1282:B1345" si="213">"20"</f>
        <v>20</v>
      </c>
      <c r="C1282" t="str">
        <f t="shared" ref="C1282:C1345" si="214">"2020/21"</f>
        <v>2020/21</v>
      </c>
      <c r="E1282" t="str">
        <f t="shared" ref="E1282:E1345" si="215">LEFT(D1282,2)</f>
        <v/>
      </c>
      <c r="F1282" t="s">
        <v>32</v>
      </c>
      <c r="G1282" t="s">
        <v>30</v>
      </c>
      <c r="H1282">
        <v>14993.64</v>
      </c>
      <c r="I1282" t="str">
        <f>"Sowood Preschool &amp; Community Association"</f>
        <v>Sowood Preschool &amp; Community Association</v>
      </c>
      <c r="J1282" t="str">
        <f t="shared" si="212"/>
        <v>3 Year Old Funding Other Committees Other Committees Of The Council Agency And Contracted Services Nursery Grant Funding Childrens Services Unit</v>
      </c>
    </row>
    <row r="1283" spans="1:10" x14ac:dyDescent="0.35">
      <c r="A1283" t="str">
        <f t="shared" si="210"/>
        <v>OCT</v>
      </c>
      <c r="B1283" t="str">
        <f t="shared" si="213"/>
        <v>20</v>
      </c>
      <c r="C1283" t="str">
        <f t="shared" si="214"/>
        <v>2020/21</v>
      </c>
      <c r="E1283" t="str">
        <f t="shared" si="215"/>
        <v/>
      </c>
      <c r="F1283" t="s">
        <v>32</v>
      </c>
      <c r="G1283" t="s">
        <v>30</v>
      </c>
      <c r="H1283">
        <v>6411.78</v>
      </c>
      <c r="I1283" t="str">
        <f>"Siddal Children's Centre"</f>
        <v>Siddal Children's Centre</v>
      </c>
      <c r="J1283" t="str">
        <f t="shared" si="212"/>
        <v>3 Year Old Funding Other Committees Other Committees Of The Council Agency And Contracted Services Nursery Grant Funding Childrens Services Unit</v>
      </c>
    </row>
    <row r="1284" spans="1:10" x14ac:dyDescent="0.35">
      <c r="A1284" t="str">
        <f t="shared" si="210"/>
        <v>OCT</v>
      </c>
      <c r="B1284" t="str">
        <f t="shared" si="213"/>
        <v>20</v>
      </c>
      <c r="C1284" t="str">
        <f t="shared" si="214"/>
        <v>2020/21</v>
      </c>
      <c r="E1284" t="str">
        <f t="shared" si="215"/>
        <v/>
      </c>
      <c r="F1284" t="s">
        <v>32</v>
      </c>
      <c r="G1284" t="s">
        <v>30</v>
      </c>
      <c r="H1284">
        <v>16742.88</v>
      </c>
      <c r="I1284" t="str">
        <f>"Sticky Fingers Playgroup"</f>
        <v>Sticky Fingers Playgroup</v>
      </c>
      <c r="J1284" t="str">
        <f t="shared" si="212"/>
        <v>3 Year Old Funding Other Committees Other Committees Of The Council Agency And Contracted Services Nursery Grant Funding Childrens Services Unit</v>
      </c>
    </row>
    <row r="1285" spans="1:10" x14ac:dyDescent="0.35">
      <c r="A1285" t="str">
        <f t="shared" si="210"/>
        <v>OCT</v>
      </c>
      <c r="B1285" t="str">
        <f t="shared" si="213"/>
        <v>20</v>
      </c>
      <c r="C1285" t="str">
        <f t="shared" si="214"/>
        <v>2020/21</v>
      </c>
      <c r="E1285" t="str">
        <f t="shared" si="215"/>
        <v/>
      </c>
      <c r="F1285" t="s">
        <v>32</v>
      </c>
      <c r="G1285" t="s">
        <v>30</v>
      </c>
      <c r="H1285">
        <v>8542.7999999999993</v>
      </c>
      <c r="I1285" t="str">
        <f>"Todmorden Children's Centre"</f>
        <v>Todmorden Children's Centre</v>
      </c>
      <c r="J1285" t="str">
        <f t="shared" si="212"/>
        <v>3 Year Old Funding Other Committees Other Committees Of The Council Agency And Contracted Services Nursery Grant Funding Childrens Services Unit</v>
      </c>
    </row>
    <row r="1286" spans="1:10" x14ac:dyDescent="0.35">
      <c r="A1286" t="str">
        <f t="shared" si="210"/>
        <v>OCT</v>
      </c>
      <c r="B1286" t="str">
        <f t="shared" si="213"/>
        <v>20</v>
      </c>
      <c r="C1286" t="str">
        <f t="shared" si="214"/>
        <v>2020/21</v>
      </c>
      <c r="E1286" t="str">
        <f t="shared" si="215"/>
        <v/>
      </c>
      <c r="F1286" t="s">
        <v>32</v>
      </c>
      <c r="G1286" t="s">
        <v>30</v>
      </c>
      <c r="H1286">
        <v>7203</v>
      </c>
      <c r="I1286" t="str">
        <f>"Hopscotch Tuel Lane Ltd"</f>
        <v>Hopscotch Tuel Lane Ltd</v>
      </c>
      <c r="J1286" t="str">
        <f t="shared" si="212"/>
        <v>3 Year Old Funding Other Committees Other Committees Of The Council Agency And Contracted Services Nursery Grant Funding Childrens Services Unit</v>
      </c>
    </row>
    <row r="1287" spans="1:10" x14ac:dyDescent="0.35">
      <c r="A1287" t="str">
        <f t="shared" si="210"/>
        <v>OCT</v>
      </c>
      <c r="B1287" t="str">
        <f t="shared" si="213"/>
        <v>20</v>
      </c>
      <c r="C1287" t="str">
        <f t="shared" si="214"/>
        <v>2020/21</v>
      </c>
      <c r="E1287" t="str">
        <f t="shared" si="215"/>
        <v/>
      </c>
      <c r="F1287" t="s">
        <v>32</v>
      </c>
      <c r="G1287" t="s">
        <v>30</v>
      </c>
      <c r="H1287">
        <v>9331.2000000000007</v>
      </c>
      <c r="I1287" t="str">
        <f>"Wellholme Children's Centre"</f>
        <v>Wellholme Children's Centre</v>
      </c>
      <c r="J1287" t="str">
        <f t="shared" si="212"/>
        <v>3 Year Old Funding Other Committees Other Committees Of The Council Agency And Contracted Services Nursery Grant Funding Childrens Services Unit</v>
      </c>
    </row>
    <row r="1288" spans="1:10" x14ac:dyDescent="0.35">
      <c r="A1288" t="str">
        <f t="shared" si="210"/>
        <v>OCT</v>
      </c>
      <c r="B1288" t="str">
        <f t="shared" si="213"/>
        <v>20</v>
      </c>
      <c r="C1288" t="str">
        <f t="shared" si="214"/>
        <v>2020/21</v>
      </c>
      <c r="D1288" t="str">
        <f>"SC CM 217252"</f>
        <v>SC CM 217252</v>
      </c>
      <c r="E1288" t="str">
        <f t="shared" si="215"/>
        <v>SC</v>
      </c>
      <c r="F1288" t="s">
        <v>33</v>
      </c>
      <c r="G1288" t="s">
        <v>30</v>
      </c>
      <c r="H1288">
        <v>150</v>
      </c>
      <c r="I1288" t="str">
        <f>"Womencentre Ltd"</f>
        <v>Womencentre Ltd</v>
      </c>
      <c r="J1288" t="str">
        <f>"Court &amp; Assessment Costs Miscellaneous Expenses Supplies And Services Central and West &amp; Upper Valley CIN/CP (non staff) Childrens Care Services"</f>
        <v>Court &amp; Assessment Costs Miscellaneous Expenses Supplies And Services Central and West &amp; Upper Valley CIN/CP (non staff) Childrens Care Services</v>
      </c>
    </row>
    <row r="1289" spans="1:10" x14ac:dyDescent="0.35">
      <c r="A1289" t="str">
        <f t="shared" si="210"/>
        <v>OCT</v>
      </c>
      <c r="B1289" t="str">
        <f t="shared" si="213"/>
        <v>20</v>
      </c>
      <c r="C1289" t="str">
        <f t="shared" si="214"/>
        <v>2020/21</v>
      </c>
      <c r="D1289" t="str">
        <f>"SC PF 215479"</f>
        <v>SC PF 215479</v>
      </c>
      <c r="E1289" t="str">
        <f t="shared" si="215"/>
        <v>SC</v>
      </c>
      <c r="F1289" t="s">
        <v>33</v>
      </c>
      <c r="G1289" t="s">
        <v>30</v>
      </c>
      <c r="H1289">
        <v>3276</v>
      </c>
      <c r="I1289" t="str">
        <f>"Barnardos (Fostering &amp; Adoption)"</f>
        <v>Barnardos (Fostering &amp; Adoption)</v>
      </c>
      <c r="J1289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290" spans="1:10" x14ac:dyDescent="0.35">
      <c r="A1290" t="str">
        <f t="shared" si="210"/>
        <v>OCT</v>
      </c>
      <c r="B1290" t="str">
        <f t="shared" si="213"/>
        <v>20</v>
      </c>
      <c r="C1290" t="str">
        <f t="shared" si="214"/>
        <v>2020/21</v>
      </c>
      <c r="D1290" t="str">
        <f>"SC PF 215478"</f>
        <v>SC PF 215478</v>
      </c>
      <c r="E1290" t="str">
        <f t="shared" si="215"/>
        <v>SC</v>
      </c>
      <c r="F1290" t="s">
        <v>33</v>
      </c>
      <c r="G1290" t="s">
        <v>30</v>
      </c>
      <c r="H1290">
        <v>3276</v>
      </c>
      <c r="I1290" t="str">
        <f>"Barnardos (Fostering &amp; Adoption)"</f>
        <v>Barnardos (Fostering &amp; Adoption)</v>
      </c>
      <c r="J1290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291" spans="1:10" x14ac:dyDescent="0.35">
      <c r="A1291" t="str">
        <f t="shared" si="210"/>
        <v>OCT</v>
      </c>
      <c r="B1291" t="str">
        <f t="shared" si="213"/>
        <v>20</v>
      </c>
      <c r="C1291" t="str">
        <f t="shared" si="214"/>
        <v>2020/21</v>
      </c>
      <c r="D1291" t="str">
        <f>"SC PF 215529"</f>
        <v>SC PF 215529</v>
      </c>
      <c r="E1291" t="str">
        <f t="shared" si="215"/>
        <v>SC</v>
      </c>
      <c r="F1291" t="s">
        <v>33</v>
      </c>
      <c r="G1291" t="s">
        <v>30</v>
      </c>
      <c r="H1291">
        <v>3139.8</v>
      </c>
      <c r="I1291" t="str">
        <f>"The Childrens Family Trust"</f>
        <v>The Childrens Family Trust</v>
      </c>
      <c r="J1291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292" spans="1:10" x14ac:dyDescent="0.35">
      <c r="A1292" t="str">
        <f t="shared" si="210"/>
        <v>OCT</v>
      </c>
      <c r="B1292" t="str">
        <f t="shared" si="213"/>
        <v>20</v>
      </c>
      <c r="C1292" t="str">
        <f t="shared" si="214"/>
        <v>2020/21</v>
      </c>
      <c r="D1292" t="str">
        <f>"SS CO 112753"</f>
        <v>SS CO 112753</v>
      </c>
      <c r="E1292" t="str">
        <f t="shared" si="215"/>
        <v>SS</v>
      </c>
      <c r="F1292" t="s">
        <v>25</v>
      </c>
      <c r="G1292" t="s">
        <v>22</v>
      </c>
      <c r="H1292">
        <v>26250</v>
      </c>
      <c r="I1292" t="str">
        <f>"Calderdale Smartmove"</f>
        <v>Calderdale Smartmove</v>
      </c>
      <c r="J1292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1293" spans="1:10" x14ac:dyDescent="0.35">
      <c r="A1293" t="str">
        <f t="shared" si="210"/>
        <v>OCT</v>
      </c>
      <c r="B1293" t="str">
        <f t="shared" si="213"/>
        <v>20</v>
      </c>
      <c r="C1293" t="str">
        <f t="shared" si="214"/>
        <v>2020/21</v>
      </c>
      <c r="D1293" t="str">
        <f>"SS CO 112753"</f>
        <v>SS CO 112753</v>
      </c>
      <c r="E1293" t="str">
        <f t="shared" si="215"/>
        <v>SS</v>
      </c>
      <c r="F1293" t="s">
        <v>25</v>
      </c>
      <c r="G1293" t="s">
        <v>22</v>
      </c>
      <c r="H1293">
        <v>26250</v>
      </c>
      <c r="I1293" t="str">
        <f>"Calderdale Smartmove"</f>
        <v>Calderdale Smartmove</v>
      </c>
      <c r="J1293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1294" spans="1:10" x14ac:dyDescent="0.35">
      <c r="A1294" t="str">
        <f t="shared" si="210"/>
        <v>OCT</v>
      </c>
      <c r="B1294" t="str">
        <f t="shared" si="213"/>
        <v>20</v>
      </c>
      <c r="C1294" t="str">
        <f t="shared" si="214"/>
        <v>2020/21</v>
      </c>
      <c r="D1294" t="str">
        <f t="shared" ref="D1294:D1299" si="216">"SS SL 114908"</f>
        <v>SS SL 114908</v>
      </c>
      <c r="E1294" t="str">
        <f t="shared" si="215"/>
        <v>SS</v>
      </c>
      <c r="F1294" t="s">
        <v>25</v>
      </c>
      <c r="G1294" t="s">
        <v>22</v>
      </c>
      <c r="H1294">
        <v>4259.3999999999996</v>
      </c>
      <c r="I1294" t="str">
        <f t="shared" ref="I1294:I1299" si="217">"Possabilities CIC"</f>
        <v>Possabilities CIC</v>
      </c>
      <c r="J1294" t="str">
        <f t="shared" ref="J1294:J1299" si="218"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1295" spans="1:10" x14ac:dyDescent="0.35">
      <c r="A1295" t="str">
        <f t="shared" si="210"/>
        <v>OCT</v>
      </c>
      <c r="B1295" t="str">
        <f t="shared" si="213"/>
        <v>20</v>
      </c>
      <c r="C1295" t="str">
        <f t="shared" si="214"/>
        <v>2020/21</v>
      </c>
      <c r="D1295" t="str">
        <f t="shared" si="216"/>
        <v>SS SL 114908</v>
      </c>
      <c r="E1295" t="str">
        <f t="shared" si="215"/>
        <v>SS</v>
      </c>
      <c r="F1295" t="s">
        <v>25</v>
      </c>
      <c r="G1295" t="s">
        <v>22</v>
      </c>
      <c r="H1295">
        <v>4259.3999999999996</v>
      </c>
      <c r="I1295" t="str">
        <f t="shared" si="217"/>
        <v>Possabilities CIC</v>
      </c>
      <c r="J1295" t="str">
        <f t="shared" si="218"/>
        <v>Oakhill Lodge (Possibilities) Voluntary Associations Agency And Contracted Services Supported Living Adult Health &amp; Social Care</v>
      </c>
    </row>
    <row r="1296" spans="1:10" x14ac:dyDescent="0.35">
      <c r="A1296" t="str">
        <f t="shared" si="210"/>
        <v>OCT</v>
      </c>
      <c r="B1296" t="str">
        <f t="shared" si="213"/>
        <v>20</v>
      </c>
      <c r="C1296" t="str">
        <f t="shared" si="214"/>
        <v>2020/21</v>
      </c>
      <c r="D1296" t="str">
        <f t="shared" si="216"/>
        <v>SS SL 114908</v>
      </c>
      <c r="E1296" t="str">
        <f t="shared" si="215"/>
        <v>SS</v>
      </c>
      <c r="F1296" t="s">
        <v>25</v>
      </c>
      <c r="G1296" t="s">
        <v>22</v>
      </c>
      <c r="H1296">
        <v>4259.3999999999996</v>
      </c>
      <c r="I1296" t="str">
        <f t="shared" si="217"/>
        <v>Possabilities CIC</v>
      </c>
      <c r="J1296" t="str">
        <f t="shared" si="218"/>
        <v>Oakhill Lodge (Possibilities) Voluntary Associations Agency And Contracted Services Supported Living Adult Health &amp; Social Care</v>
      </c>
    </row>
    <row r="1297" spans="1:10" x14ac:dyDescent="0.35">
      <c r="A1297" t="str">
        <f t="shared" si="210"/>
        <v>OCT</v>
      </c>
      <c r="B1297" t="str">
        <f t="shared" si="213"/>
        <v>20</v>
      </c>
      <c r="C1297" t="str">
        <f t="shared" si="214"/>
        <v>2020/21</v>
      </c>
      <c r="D1297" t="str">
        <f t="shared" si="216"/>
        <v>SS SL 114908</v>
      </c>
      <c r="E1297" t="str">
        <f t="shared" si="215"/>
        <v>SS</v>
      </c>
      <c r="F1297" t="s">
        <v>25</v>
      </c>
      <c r="G1297" t="s">
        <v>22</v>
      </c>
      <c r="H1297">
        <v>-0.72</v>
      </c>
      <c r="I1297" t="str">
        <f t="shared" si="217"/>
        <v>Possabilities CIC</v>
      </c>
      <c r="J1297" t="str">
        <f t="shared" si="218"/>
        <v>Oakhill Lodge (Possibilities) Voluntary Associations Agency And Contracted Services Supported Living Adult Health &amp; Social Care</v>
      </c>
    </row>
    <row r="1298" spans="1:10" x14ac:dyDescent="0.35">
      <c r="A1298" t="str">
        <f t="shared" si="210"/>
        <v>OCT</v>
      </c>
      <c r="B1298" t="str">
        <f t="shared" si="213"/>
        <v>20</v>
      </c>
      <c r="C1298" t="str">
        <f t="shared" si="214"/>
        <v>2020/21</v>
      </c>
      <c r="D1298" t="str">
        <f t="shared" si="216"/>
        <v>SS SL 114908</v>
      </c>
      <c r="E1298" t="str">
        <f t="shared" si="215"/>
        <v>SS</v>
      </c>
      <c r="F1298" t="s">
        <v>25</v>
      </c>
      <c r="G1298" t="s">
        <v>22</v>
      </c>
      <c r="H1298">
        <v>1533</v>
      </c>
      <c r="I1298" t="str">
        <f t="shared" si="217"/>
        <v>Possabilities CIC</v>
      </c>
      <c r="J1298" t="str">
        <f t="shared" si="218"/>
        <v>Oakhill Lodge (Possibilities) Voluntary Associations Agency And Contracted Services Supported Living Adult Health &amp; Social Care</v>
      </c>
    </row>
    <row r="1299" spans="1:10" x14ac:dyDescent="0.35">
      <c r="A1299" t="str">
        <f t="shared" si="210"/>
        <v>OCT</v>
      </c>
      <c r="B1299" t="str">
        <f t="shared" si="213"/>
        <v>20</v>
      </c>
      <c r="C1299" t="str">
        <f t="shared" si="214"/>
        <v>2020/21</v>
      </c>
      <c r="D1299" t="str">
        <f t="shared" si="216"/>
        <v>SS SL 114908</v>
      </c>
      <c r="E1299" t="str">
        <f t="shared" si="215"/>
        <v>SS</v>
      </c>
      <c r="F1299" t="s">
        <v>25</v>
      </c>
      <c r="G1299" t="s">
        <v>22</v>
      </c>
      <c r="H1299">
        <v>2565.52</v>
      </c>
      <c r="I1299" t="str">
        <f t="shared" si="217"/>
        <v>Possabilities CIC</v>
      </c>
      <c r="J1299" t="str">
        <f t="shared" si="218"/>
        <v>Oakhill Lodge (Possibilities) Voluntary Associations Agency And Contracted Services Supported Living Adult Health &amp; Social Care</v>
      </c>
    </row>
    <row r="1300" spans="1:10" x14ac:dyDescent="0.35">
      <c r="A1300" t="str">
        <f t="shared" si="210"/>
        <v>OCT</v>
      </c>
      <c r="B1300" t="str">
        <f t="shared" si="213"/>
        <v>20</v>
      </c>
      <c r="C1300" t="str">
        <f t="shared" si="214"/>
        <v>2020/21</v>
      </c>
      <c r="D1300" t="str">
        <f t="shared" ref="D1300:D1305" si="219">"SS SL 114881"</f>
        <v>SS SL 114881</v>
      </c>
      <c r="E1300" t="str">
        <f t="shared" si="215"/>
        <v>SS</v>
      </c>
      <c r="F1300" t="s">
        <v>25</v>
      </c>
      <c r="G1300" t="s">
        <v>22</v>
      </c>
      <c r="H1300">
        <v>6208.4</v>
      </c>
      <c r="I1300" t="str">
        <f t="shared" ref="I1300:I1310" si="220">"Creative Support Ltd"</f>
        <v>Creative Support Ltd</v>
      </c>
      <c r="J1300" t="str">
        <f t="shared" ref="J1300:J1305" si="221"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1301" spans="1:10" x14ac:dyDescent="0.35">
      <c r="A1301" t="str">
        <f t="shared" si="210"/>
        <v>OCT</v>
      </c>
      <c r="B1301" t="str">
        <f t="shared" si="213"/>
        <v>20</v>
      </c>
      <c r="C1301" t="str">
        <f t="shared" si="214"/>
        <v>2020/21</v>
      </c>
      <c r="D1301" t="str">
        <f t="shared" si="219"/>
        <v>SS SL 114881</v>
      </c>
      <c r="E1301" t="str">
        <f t="shared" si="215"/>
        <v>SS</v>
      </c>
      <c r="F1301" t="s">
        <v>25</v>
      </c>
      <c r="G1301" t="s">
        <v>22</v>
      </c>
      <c r="H1301">
        <v>4946.8</v>
      </c>
      <c r="I1301" t="str">
        <f t="shared" si="220"/>
        <v>Creative Support Ltd</v>
      </c>
      <c r="J1301" t="str">
        <f t="shared" si="221"/>
        <v>92 Highfield Road (Creative Support) Private Contractors Agency And Contracted Services Supported Living Adult Health &amp; Social Care</v>
      </c>
    </row>
    <row r="1302" spans="1:10" x14ac:dyDescent="0.35">
      <c r="A1302" t="str">
        <f t="shared" si="210"/>
        <v>OCT</v>
      </c>
      <c r="B1302" t="str">
        <f t="shared" si="213"/>
        <v>20</v>
      </c>
      <c r="C1302" t="str">
        <f t="shared" si="214"/>
        <v>2020/21</v>
      </c>
      <c r="D1302" t="str">
        <f t="shared" si="219"/>
        <v>SS SL 114881</v>
      </c>
      <c r="E1302" t="str">
        <f t="shared" si="215"/>
        <v>SS</v>
      </c>
      <c r="F1302" t="s">
        <v>25</v>
      </c>
      <c r="G1302" t="s">
        <v>22</v>
      </c>
      <c r="H1302">
        <v>3452.8</v>
      </c>
      <c r="I1302" t="str">
        <f t="shared" si="220"/>
        <v>Creative Support Ltd</v>
      </c>
      <c r="J1302" t="str">
        <f t="shared" si="221"/>
        <v>92 Highfield Road (Creative Support) Private Contractors Agency And Contracted Services Supported Living Adult Health &amp; Social Care</v>
      </c>
    </row>
    <row r="1303" spans="1:10" x14ac:dyDescent="0.35">
      <c r="A1303" t="str">
        <f t="shared" si="210"/>
        <v>OCT</v>
      </c>
      <c r="B1303" t="str">
        <f t="shared" si="213"/>
        <v>20</v>
      </c>
      <c r="C1303" t="str">
        <f t="shared" si="214"/>
        <v>2020/21</v>
      </c>
      <c r="D1303" t="str">
        <f t="shared" si="219"/>
        <v>SS SL 114881</v>
      </c>
      <c r="E1303" t="str">
        <f t="shared" si="215"/>
        <v>SS</v>
      </c>
      <c r="F1303" t="s">
        <v>25</v>
      </c>
      <c r="G1303" t="s">
        <v>22</v>
      </c>
      <c r="H1303">
        <v>6772.8</v>
      </c>
      <c r="I1303" t="str">
        <f t="shared" si="220"/>
        <v>Creative Support Ltd</v>
      </c>
      <c r="J1303" t="str">
        <f t="shared" si="221"/>
        <v>92 Highfield Road (Creative Support) Private Contractors Agency And Contracted Services Supported Living Adult Health &amp; Social Care</v>
      </c>
    </row>
    <row r="1304" spans="1:10" x14ac:dyDescent="0.35">
      <c r="A1304" t="str">
        <f t="shared" si="210"/>
        <v>OCT</v>
      </c>
      <c r="B1304" t="str">
        <f t="shared" si="213"/>
        <v>20</v>
      </c>
      <c r="C1304" t="str">
        <f t="shared" si="214"/>
        <v>2020/21</v>
      </c>
      <c r="D1304" t="str">
        <f t="shared" si="219"/>
        <v>SS SL 114881</v>
      </c>
      <c r="E1304" t="str">
        <f t="shared" si="215"/>
        <v>SS</v>
      </c>
      <c r="F1304" t="s">
        <v>25</v>
      </c>
      <c r="G1304" t="s">
        <v>22</v>
      </c>
      <c r="H1304">
        <v>3718.4</v>
      </c>
      <c r="I1304" t="str">
        <f t="shared" si="220"/>
        <v>Creative Support Ltd</v>
      </c>
      <c r="J1304" t="str">
        <f t="shared" si="221"/>
        <v>92 Highfield Road (Creative Support) Private Contractors Agency And Contracted Services Supported Living Adult Health &amp; Social Care</v>
      </c>
    </row>
    <row r="1305" spans="1:10" x14ac:dyDescent="0.35">
      <c r="A1305" t="str">
        <f t="shared" si="210"/>
        <v>OCT</v>
      </c>
      <c r="B1305" t="str">
        <f t="shared" si="213"/>
        <v>20</v>
      </c>
      <c r="C1305" t="str">
        <f t="shared" si="214"/>
        <v>2020/21</v>
      </c>
      <c r="D1305" t="str">
        <f t="shared" si="219"/>
        <v>SS SL 114881</v>
      </c>
      <c r="E1305" t="str">
        <f t="shared" si="215"/>
        <v>SS</v>
      </c>
      <c r="F1305" t="s">
        <v>25</v>
      </c>
      <c r="G1305" t="s">
        <v>22</v>
      </c>
      <c r="H1305">
        <v>3021.2</v>
      </c>
      <c r="I1305" t="str">
        <f t="shared" si="220"/>
        <v>Creative Support Ltd</v>
      </c>
      <c r="J1305" t="str">
        <f t="shared" si="221"/>
        <v>92 Highfield Road (Creative Support) Private Contractors Agency And Contracted Services Supported Living Adult Health &amp; Social Care</v>
      </c>
    </row>
    <row r="1306" spans="1:10" x14ac:dyDescent="0.35">
      <c r="A1306" t="str">
        <f t="shared" si="210"/>
        <v>OCT</v>
      </c>
      <c r="B1306" t="str">
        <f t="shared" si="213"/>
        <v>20</v>
      </c>
      <c r="C1306" t="str">
        <f t="shared" si="214"/>
        <v>2020/21</v>
      </c>
      <c r="D1306" t="str">
        <f>"SS SL 114893"</f>
        <v>SS SL 114893</v>
      </c>
      <c r="E1306" t="str">
        <f t="shared" si="215"/>
        <v>SS</v>
      </c>
      <c r="F1306" t="s">
        <v>25</v>
      </c>
      <c r="G1306" t="s">
        <v>22</v>
      </c>
      <c r="H1306">
        <v>2191.1999999999998</v>
      </c>
      <c r="I1306" t="str">
        <f t="shared" si="220"/>
        <v>Creative Support Ltd</v>
      </c>
      <c r="J1306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307" spans="1:10" x14ac:dyDescent="0.35">
      <c r="A1307" t="str">
        <f t="shared" si="210"/>
        <v>OCT</v>
      </c>
      <c r="B1307" t="str">
        <f t="shared" si="213"/>
        <v>20</v>
      </c>
      <c r="C1307" t="str">
        <f t="shared" si="214"/>
        <v>2020/21</v>
      </c>
      <c r="D1307" t="str">
        <f>"SS SL 114893"</f>
        <v>SS SL 114893</v>
      </c>
      <c r="E1307" t="str">
        <f t="shared" si="215"/>
        <v>SS</v>
      </c>
      <c r="F1307" t="s">
        <v>25</v>
      </c>
      <c r="G1307" t="s">
        <v>22</v>
      </c>
      <c r="H1307">
        <v>2921.6</v>
      </c>
      <c r="I1307" t="str">
        <f t="shared" si="220"/>
        <v>Creative Support Ltd</v>
      </c>
      <c r="J1307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308" spans="1:10" x14ac:dyDescent="0.35">
      <c r="A1308" t="str">
        <f t="shared" si="210"/>
        <v>OCT</v>
      </c>
      <c r="B1308" t="str">
        <f t="shared" si="213"/>
        <v>20</v>
      </c>
      <c r="C1308" t="str">
        <f t="shared" si="214"/>
        <v>2020/21</v>
      </c>
      <c r="D1308" t="str">
        <f>"SS SL 114893"</f>
        <v>SS SL 114893</v>
      </c>
      <c r="E1308" t="str">
        <f t="shared" si="215"/>
        <v>SS</v>
      </c>
      <c r="F1308" t="s">
        <v>25</v>
      </c>
      <c r="G1308" t="s">
        <v>22</v>
      </c>
      <c r="H1308">
        <v>2284.8000000000002</v>
      </c>
      <c r="I1308" t="str">
        <f t="shared" si="220"/>
        <v>Creative Support Ltd</v>
      </c>
      <c r="J1308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309" spans="1:10" x14ac:dyDescent="0.35">
      <c r="A1309" t="str">
        <f t="shared" si="210"/>
        <v>OCT</v>
      </c>
      <c r="B1309" t="str">
        <f t="shared" si="213"/>
        <v>20</v>
      </c>
      <c r="C1309" t="str">
        <f t="shared" si="214"/>
        <v>2020/21</v>
      </c>
      <c r="D1309" t="str">
        <f>"SS SL 114893"</f>
        <v>SS SL 114893</v>
      </c>
      <c r="E1309" t="str">
        <f t="shared" si="215"/>
        <v>SS</v>
      </c>
      <c r="F1309" t="s">
        <v>25</v>
      </c>
      <c r="G1309" t="s">
        <v>22</v>
      </c>
      <c r="H1309">
        <v>3452.8</v>
      </c>
      <c r="I1309" t="str">
        <f t="shared" si="220"/>
        <v>Creative Support Ltd</v>
      </c>
      <c r="J1309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310" spans="1:10" x14ac:dyDescent="0.35">
      <c r="A1310" t="str">
        <f t="shared" ref="A1310:A1373" si="222">"OCT"</f>
        <v>OCT</v>
      </c>
      <c r="B1310" t="str">
        <f t="shared" si="213"/>
        <v>20</v>
      </c>
      <c r="C1310" t="str">
        <f t="shared" si="214"/>
        <v>2020/21</v>
      </c>
      <c r="D1310" t="str">
        <f>"SS SL 114893"</f>
        <v>SS SL 114893</v>
      </c>
      <c r="E1310" t="str">
        <f t="shared" si="215"/>
        <v>SS</v>
      </c>
      <c r="F1310" t="s">
        <v>25</v>
      </c>
      <c r="G1310" t="s">
        <v>22</v>
      </c>
      <c r="H1310">
        <v>3984</v>
      </c>
      <c r="I1310" t="str">
        <f t="shared" si="220"/>
        <v>Creative Support Ltd</v>
      </c>
      <c r="J1310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1311" spans="1:10" x14ac:dyDescent="0.35">
      <c r="A1311" t="str">
        <f t="shared" si="222"/>
        <v>OCT</v>
      </c>
      <c r="B1311" t="str">
        <f t="shared" si="213"/>
        <v>20</v>
      </c>
      <c r="C1311" t="str">
        <f t="shared" si="214"/>
        <v>2020/21</v>
      </c>
      <c r="D1311" t="str">
        <f t="shared" ref="D1311:D1318" si="223">"SS SL 114903"</f>
        <v>SS SL 114903</v>
      </c>
      <c r="E1311" t="str">
        <f t="shared" si="215"/>
        <v>SS</v>
      </c>
      <c r="F1311" t="s">
        <v>25</v>
      </c>
      <c r="G1311" t="s">
        <v>22</v>
      </c>
      <c r="H1311">
        <v>571.20000000000005</v>
      </c>
      <c r="I1311" t="str">
        <f t="shared" ref="I1311:I1342" si="224">"Future Directions CIC"</f>
        <v>Future Directions CIC</v>
      </c>
      <c r="J1311" t="str">
        <f t="shared" ref="J1311:J1342" si="225"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1312" spans="1:10" x14ac:dyDescent="0.35">
      <c r="A1312" t="str">
        <f t="shared" si="222"/>
        <v>OCT</v>
      </c>
      <c r="B1312" t="str">
        <f t="shared" si="213"/>
        <v>20</v>
      </c>
      <c r="C1312" t="str">
        <f t="shared" si="214"/>
        <v>2020/21</v>
      </c>
      <c r="D1312" t="str">
        <f t="shared" si="223"/>
        <v>SS SL 114903</v>
      </c>
      <c r="E1312" t="str">
        <f t="shared" si="215"/>
        <v>SS</v>
      </c>
      <c r="F1312" t="s">
        <v>25</v>
      </c>
      <c r="G1312" t="s">
        <v>22</v>
      </c>
      <c r="H1312">
        <v>3137.4</v>
      </c>
      <c r="I1312" t="str">
        <f t="shared" si="224"/>
        <v>Future Directions CIC</v>
      </c>
      <c r="J1312" t="str">
        <f t="shared" si="225"/>
        <v>Endeavour House (Future Directions) Private Contractors Agency And Contracted Services Supported Living Adult Health &amp; Social Care</v>
      </c>
    </row>
    <row r="1313" spans="1:10" x14ac:dyDescent="0.35">
      <c r="A1313" t="str">
        <f t="shared" si="222"/>
        <v>OCT</v>
      </c>
      <c r="B1313" t="str">
        <f t="shared" si="213"/>
        <v>20</v>
      </c>
      <c r="C1313" t="str">
        <f t="shared" si="214"/>
        <v>2020/21</v>
      </c>
      <c r="D1313" t="str">
        <f t="shared" si="223"/>
        <v>SS SL 114903</v>
      </c>
      <c r="E1313" t="str">
        <f t="shared" si="215"/>
        <v>SS</v>
      </c>
      <c r="F1313" t="s">
        <v>25</v>
      </c>
      <c r="G1313" t="s">
        <v>22</v>
      </c>
      <c r="H1313">
        <v>2788.8</v>
      </c>
      <c r="I1313" t="str">
        <f t="shared" si="224"/>
        <v>Future Directions CIC</v>
      </c>
      <c r="J1313" t="str">
        <f t="shared" si="225"/>
        <v>Endeavour House (Future Directions) Private Contractors Agency And Contracted Services Supported Living Adult Health &amp; Social Care</v>
      </c>
    </row>
    <row r="1314" spans="1:10" x14ac:dyDescent="0.35">
      <c r="A1314" t="str">
        <f t="shared" si="222"/>
        <v>OCT</v>
      </c>
      <c r="B1314" t="str">
        <f t="shared" si="213"/>
        <v>20</v>
      </c>
      <c r="C1314" t="str">
        <f t="shared" si="214"/>
        <v>2020/21</v>
      </c>
      <c r="D1314" t="str">
        <f t="shared" si="223"/>
        <v>SS SL 114903</v>
      </c>
      <c r="E1314" t="str">
        <f t="shared" si="215"/>
        <v>SS</v>
      </c>
      <c r="F1314" t="s">
        <v>25</v>
      </c>
      <c r="G1314" t="s">
        <v>22</v>
      </c>
      <c r="H1314">
        <v>571.20000000000005</v>
      </c>
      <c r="I1314" t="str">
        <f t="shared" si="224"/>
        <v>Future Directions CIC</v>
      </c>
      <c r="J1314" t="str">
        <f t="shared" si="225"/>
        <v>Endeavour House (Future Directions) Private Contractors Agency And Contracted Services Supported Living Adult Health &amp; Social Care</v>
      </c>
    </row>
    <row r="1315" spans="1:10" x14ac:dyDescent="0.35">
      <c r="A1315" t="str">
        <f t="shared" si="222"/>
        <v>OCT</v>
      </c>
      <c r="B1315" t="str">
        <f t="shared" si="213"/>
        <v>20</v>
      </c>
      <c r="C1315" t="str">
        <f t="shared" si="214"/>
        <v>2020/21</v>
      </c>
      <c r="D1315" t="str">
        <f t="shared" si="223"/>
        <v>SS SL 114903</v>
      </c>
      <c r="E1315" t="str">
        <f t="shared" si="215"/>
        <v>SS</v>
      </c>
      <c r="F1315" t="s">
        <v>25</v>
      </c>
      <c r="G1315" t="s">
        <v>22</v>
      </c>
      <c r="H1315">
        <v>571.20000000000005</v>
      </c>
      <c r="I1315" t="str">
        <f t="shared" si="224"/>
        <v>Future Directions CIC</v>
      </c>
      <c r="J1315" t="str">
        <f t="shared" si="225"/>
        <v>Endeavour House (Future Directions) Private Contractors Agency And Contracted Services Supported Living Adult Health &amp; Social Care</v>
      </c>
    </row>
    <row r="1316" spans="1:10" x14ac:dyDescent="0.35">
      <c r="A1316" t="str">
        <f t="shared" si="222"/>
        <v>OCT</v>
      </c>
      <c r="B1316" t="str">
        <f t="shared" si="213"/>
        <v>20</v>
      </c>
      <c r="C1316" t="str">
        <f t="shared" si="214"/>
        <v>2020/21</v>
      </c>
      <c r="D1316" t="str">
        <f t="shared" si="223"/>
        <v>SS SL 114903</v>
      </c>
      <c r="E1316" t="str">
        <f t="shared" si="215"/>
        <v>SS</v>
      </c>
      <c r="F1316" t="s">
        <v>25</v>
      </c>
      <c r="G1316" t="s">
        <v>22</v>
      </c>
      <c r="H1316">
        <v>2788.8</v>
      </c>
      <c r="I1316" t="str">
        <f t="shared" si="224"/>
        <v>Future Directions CIC</v>
      </c>
      <c r="J1316" t="str">
        <f t="shared" si="225"/>
        <v>Endeavour House (Future Directions) Private Contractors Agency And Contracted Services Supported Living Adult Health &amp; Social Care</v>
      </c>
    </row>
    <row r="1317" spans="1:10" x14ac:dyDescent="0.35">
      <c r="A1317" t="str">
        <f t="shared" si="222"/>
        <v>OCT</v>
      </c>
      <c r="B1317" t="str">
        <f t="shared" si="213"/>
        <v>20</v>
      </c>
      <c r="C1317" t="str">
        <f t="shared" si="214"/>
        <v>2020/21</v>
      </c>
      <c r="D1317" t="str">
        <f t="shared" si="223"/>
        <v>SS SL 114903</v>
      </c>
      <c r="E1317" t="str">
        <f t="shared" si="215"/>
        <v>SS</v>
      </c>
      <c r="F1317" t="s">
        <v>25</v>
      </c>
      <c r="G1317" t="s">
        <v>22</v>
      </c>
      <c r="H1317">
        <v>2805.4</v>
      </c>
      <c r="I1317" t="str">
        <f t="shared" si="224"/>
        <v>Future Directions CIC</v>
      </c>
      <c r="J1317" t="str">
        <f t="shared" si="225"/>
        <v>Endeavour House (Future Directions) Private Contractors Agency And Contracted Services Supported Living Adult Health &amp; Social Care</v>
      </c>
    </row>
    <row r="1318" spans="1:10" x14ac:dyDescent="0.35">
      <c r="A1318" t="str">
        <f t="shared" si="222"/>
        <v>OCT</v>
      </c>
      <c r="B1318" t="str">
        <f t="shared" si="213"/>
        <v>20</v>
      </c>
      <c r="C1318" t="str">
        <f t="shared" si="214"/>
        <v>2020/21</v>
      </c>
      <c r="D1318" t="str">
        <f t="shared" si="223"/>
        <v>SS SL 114903</v>
      </c>
      <c r="E1318" t="str">
        <f t="shared" si="215"/>
        <v>SS</v>
      </c>
      <c r="F1318" t="s">
        <v>25</v>
      </c>
      <c r="G1318" t="s">
        <v>22</v>
      </c>
      <c r="H1318">
        <v>571.20000000000005</v>
      </c>
      <c r="I1318" t="str">
        <f t="shared" si="224"/>
        <v>Future Directions CIC</v>
      </c>
      <c r="J1318" t="str">
        <f t="shared" si="225"/>
        <v>Endeavour House (Future Directions) Private Contractors Agency And Contracted Services Supported Living Adult Health &amp; Social Care</v>
      </c>
    </row>
    <row r="1319" spans="1:10" x14ac:dyDescent="0.35">
      <c r="A1319" t="str">
        <f t="shared" si="222"/>
        <v>OCT</v>
      </c>
      <c r="B1319" t="str">
        <f t="shared" si="213"/>
        <v>20</v>
      </c>
      <c r="C1319" t="str">
        <f t="shared" si="214"/>
        <v>2020/21</v>
      </c>
      <c r="D1319" t="str">
        <f>"SS SL 114906"</f>
        <v>SS SL 114906</v>
      </c>
      <c r="E1319" t="str">
        <f t="shared" si="215"/>
        <v>SS</v>
      </c>
      <c r="F1319" t="s">
        <v>25</v>
      </c>
      <c r="G1319" t="s">
        <v>22</v>
      </c>
      <c r="H1319">
        <v>265.60000000000002</v>
      </c>
      <c r="I1319" t="str">
        <f t="shared" si="224"/>
        <v>Future Directions CIC</v>
      </c>
      <c r="J1319" t="str">
        <f t="shared" si="225"/>
        <v>Endeavour House (Future Directions) Private Contractors Agency And Contracted Services Supported Living Adult Health &amp; Social Care</v>
      </c>
    </row>
    <row r="1320" spans="1:10" x14ac:dyDescent="0.35">
      <c r="A1320" t="str">
        <f t="shared" si="222"/>
        <v>OCT</v>
      </c>
      <c r="B1320" t="str">
        <f t="shared" si="213"/>
        <v>20</v>
      </c>
      <c r="C1320" t="str">
        <f t="shared" si="214"/>
        <v>2020/21</v>
      </c>
      <c r="D1320" t="str">
        <f>"SS SL 114906"</f>
        <v>SS SL 114906</v>
      </c>
      <c r="E1320" t="str">
        <f t="shared" si="215"/>
        <v>SS</v>
      </c>
      <c r="F1320" t="s">
        <v>25</v>
      </c>
      <c r="G1320" t="s">
        <v>22</v>
      </c>
      <c r="H1320">
        <v>996</v>
      </c>
      <c r="I1320" t="str">
        <f t="shared" si="224"/>
        <v>Future Directions CIC</v>
      </c>
      <c r="J1320" t="str">
        <f t="shared" si="225"/>
        <v>Endeavour House (Future Directions) Private Contractors Agency And Contracted Services Supported Living Adult Health &amp; Social Care</v>
      </c>
    </row>
    <row r="1321" spans="1:10" x14ac:dyDescent="0.35">
      <c r="A1321" t="str">
        <f t="shared" si="222"/>
        <v>OCT</v>
      </c>
      <c r="B1321" t="str">
        <f t="shared" si="213"/>
        <v>20</v>
      </c>
      <c r="C1321" t="str">
        <f t="shared" si="214"/>
        <v>2020/21</v>
      </c>
      <c r="D1321" t="str">
        <f>"SS SL 114906"</f>
        <v>SS SL 114906</v>
      </c>
      <c r="E1321" t="str">
        <f t="shared" si="215"/>
        <v>SS</v>
      </c>
      <c r="F1321" t="s">
        <v>25</v>
      </c>
      <c r="G1321" t="s">
        <v>22</v>
      </c>
      <c r="H1321">
        <v>498</v>
      </c>
      <c r="I1321" t="str">
        <f t="shared" si="224"/>
        <v>Future Directions CIC</v>
      </c>
      <c r="J1321" t="str">
        <f t="shared" si="225"/>
        <v>Endeavour House (Future Directions) Private Contractors Agency And Contracted Services Supported Living Adult Health &amp; Social Care</v>
      </c>
    </row>
    <row r="1322" spans="1:10" x14ac:dyDescent="0.35">
      <c r="A1322" t="str">
        <f t="shared" si="222"/>
        <v>OCT</v>
      </c>
      <c r="B1322" t="str">
        <f t="shared" si="213"/>
        <v>20</v>
      </c>
      <c r="C1322" t="str">
        <f t="shared" si="214"/>
        <v>2020/21</v>
      </c>
      <c r="D1322" t="str">
        <f>"SS SL 114906"</f>
        <v>SS SL 114906</v>
      </c>
      <c r="E1322" t="str">
        <f t="shared" si="215"/>
        <v>SS</v>
      </c>
      <c r="F1322" t="s">
        <v>25</v>
      </c>
      <c r="G1322" t="s">
        <v>22</v>
      </c>
      <c r="H1322">
        <v>178.45</v>
      </c>
      <c r="I1322" t="str">
        <f t="shared" si="224"/>
        <v>Future Directions CIC</v>
      </c>
      <c r="J1322" t="str">
        <f t="shared" si="225"/>
        <v>Endeavour House (Future Directions) Private Contractors Agency And Contracted Services Supported Living Adult Health &amp; Social Care</v>
      </c>
    </row>
    <row r="1323" spans="1:10" x14ac:dyDescent="0.35">
      <c r="A1323" t="str">
        <f t="shared" si="222"/>
        <v>OCT</v>
      </c>
      <c r="B1323" t="str">
        <f t="shared" si="213"/>
        <v>20</v>
      </c>
      <c r="C1323" t="str">
        <f t="shared" si="214"/>
        <v>2020/21</v>
      </c>
      <c r="D1323" t="str">
        <f>"SS SL 114906"</f>
        <v>SS SL 114906</v>
      </c>
      <c r="E1323" t="str">
        <f t="shared" si="215"/>
        <v>SS</v>
      </c>
      <c r="F1323" t="s">
        <v>25</v>
      </c>
      <c r="G1323" t="s">
        <v>22</v>
      </c>
      <c r="H1323">
        <v>664</v>
      </c>
      <c r="I1323" t="str">
        <f t="shared" si="224"/>
        <v>Future Directions CIC</v>
      </c>
      <c r="J1323" t="str">
        <f t="shared" si="225"/>
        <v>Endeavour House (Future Directions) Private Contractors Agency And Contracted Services Supported Living Adult Health &amp; Social Care</v>
      </c>
    </row>
    <row r="1324" spans="1:10" x14ac:dyDescent="0.35">
      <c r="A1324" t="str">
        <f t="shared" si="222"/>
        <v>OCT</v>
      </c>
      <c r="B1324" t="str">
        <f t="shared" si="213"/>
        <v>20</v>
      </c>
      <c r="C1324" t="str">
        <f t="shared" si="214"/>
        <v>2020/21</v>
      </c>
      <c r="D1324" t="str">
        <f t="shared" ref="D1324:D1337" si="226">"SS SL 114904"</f>
        <v>SS SL 114904</v>
      </c>
      <c r="E1324" t="str">
        <f t="shared" si="215"/>
        <v>SS</v>
      </c>
      <c r="F1324" t="s">
        <v>25</v>
      </c>
      <c r="G1324" t="s">
        <v>22</v>
      </c>
      <c r="H1324">
        <v>571.20000000000005</v>
      </c>
      <c r="I1324" t="str">
        <f t="shared" si="224"/>
        <v>Future Directions CIC</v>
      </c>
      <c r="J1324" t="str">
        <f t="shared" si="225"/>
        <v>Endeavour House (Future Directions) Private Contractors Agency And Contracted Services Supported Living Adult Health &amp; Social Care</v>
      </c>
    </row>
    <row r="1325" spans="1:10" x14ac:dyDescent="0.35">
      <c r="A1325" t="str">
        <f t="shared" si="222"/>
        <v>OCT</v>
      </c>
      <c r="B1325" t="str">
        <f t="shared" si="213"/>
        <v>20</v>
      </c>
      <c r="C1325" t="str">
        <f t="shared" si="214"/>
        <v>2020/21</v>
      </c>
      <c r="D1325" t="str">
        <f t="shared" si="226"/>
        <v>SS SL 114904</v>
      </c>
      <c r="E1325" t="str">
        <f t="shared" si="215"/>
        <v>SS</v>
      </c>
      <c r="F1325" t="s">
        <v>25</v>
      </c>
      <c r="G1325" t="s">
        <v>22</v>
      </c>
      <c r="H1325">
        <v>3004.6</v>
      </c>
      <c r="I1325" t="str">
        <f t="shared" si="224"/>
        <v>Future Directions CIC</v>
      </c>
      <c r="J1325" t="str">
        <f t="shared" si="225"/>
        <v>Endeavour House (Future Directions) Private Contractors Agency And Contracted Services Supported Living Adult Health &amp; Social Care</v>
      </c>
    </row>
    <row r="1326" spans="1:10" x14ac:dyDescent="0.35">
      <c r="A1326" t="str">
        <f t="shared" si="222"/>
        <v>OCT</v>
      </c>
      <c r="B1326" t="str">
        <f t="shared" si="213"/>
        <v>20</v>
      </c>
      <c r="C1326" t="str">
        <f t="shared" si="214"/>
        <v>2020/21</v>
      </c>
      <c r="D1326" t="str">
        <f t="shared" si="226"/>
        <v>SS SL 114904</v>
      </c>
      <c r="E1326" t="str">
        <f t="shared" si="215"/>
        <v>SS</v>
      </c>
      <c r="F1326" t="s">
        <v>25</v>
      </c>
      <c r="G1326" t="s">
        <v>22</v>
      </c>
      <c r="H1326">
        <v>132.80000000000001</v>
      </c>
      <c r="I1326" t="str">
        <f t="shared" si="224"/>
        <v>Future Directions CIC</v>
      </c>
      <c r="J1326" t="str">
        <f t="shared" si="225"/>
        <v>Endeavour House (Future Directions) Private Contractors Agency And Contracted Services Supported Living Adult Health &amp; Social Care</v>
      </c>
    </row>
    <row r="1327" spans="1:10" x14ac:dyDescent="0.35">
      <c r="A1327" t="str">
        <f t="shared" si="222"/>
        <v>OCT</v>
      </c>
      <c r="B1327" t="str">
        <f t="shared" si="213"/>
        <v>20</v>
      </c>
      <c r="C1327" t="str">
        <f t="shared" si="214"/>
        <v>2020/21</v>
      </c>
      <c r="D1327" t="str">
        <f t="shared" si="226"/>
        <v>SS SL 114904</v>
      </c>
      <c r="E1327" t="str">
        <f t="shared" si="215"/>
        <v>SS</v>
      </c>
      <c r="F1327" t="s">
        <v>25</v>
      </c>
      <c r="G1327" t="s">
        <v>22</v>
      </c>
      <c r="H1327">
        <v>2426.92</v>
      </c>
      <c r="I1327" t="str">
        <f t="shared" si="224"/>
        <v>Future Directions CIC</v>
      </c>
      <c r="J1327" t="str">
        <f t="shared" si="225"/>
        <v>Endeavour House (Future Directions) Private Contractors Agency And Contracted Services Supported Living Adult Health &amp; Social Care</v>
      </c>
    </row>
    <row r="1328" spans="1:10" x14ac:dyDescent="0.35">
      <c r="A1328" t="str">
        <f t="shared" si="222"/>
        <v>OCT</v>
      </c>
      <c r="B1328" t="str">
        <f t="shared" si="213"/>
        <v>20</v>
      </c>
      <c r="C1328" t="str">
        <f t="shared" si="214"/>
        <v>2020/21</v>
      </c>
      <c r="D1328" t="str">
        <f t="shared" si="226"/>
        <v>SS SL 114904</v>
      </c>
      <c r="E1328" t="str">
        <f t="shared" si="215"/>
        <v>SS</v>
      </c>
      <c r="F1328" t="s">
        <v>25</v>
      </c>
      <c r="G1328" t="s">
        <v>22</v>
      </c>
      <c r="H1328">
        <v>-3.32</v>
      </c>
      <c r="I1328" t="str">
        <f t="shared" si="224"/>
        <v>Future Directions CIC</v>
      </c>
      <c r="J1328" t="str">
        <f t="shared" si="225"/>
        <v>Endeavour House (Future Directions) Private Contractors Agency And Contracted Services Supported Living Adult Health &amp; Social Care</v>
      </c>
    </row>
    <row r="1329" spans="1:10" x14ac:dyDescent="0.35">
      <c r="A1329" t="str">
        <f t="shared" si="222"/>
        <v>OCT</v>
      </c>
      <c r="B1329" t="str">
        <f t="shared" si="213"/>
        <v>20</v>
      </c>
      <c r="C1329" t="str">
        <f t="shared" si="214"/>
        <v>2020/21</v>
      </c>
      <c r="D1329" t="str">
        <f t="shared" si="226"/>
        <v>SS SL 114904</v>
      </c>
      <c r="E1329" t="str">
        <f t="shared" si="215"/>
        <v>SS</v>
      </c>
      <c r="F1329" t="s">
        <v>25</v>
      </c>
      <c r="G1329" t="s">
        <v>22</v>
      </c>
      <c r="H1329">
        <v>571.20000000000005</v>
      </c>
      <c r="I1329" t="str">
        <f t="shared" si="224"/>
        <v>Future Directions CIC</v>
      </c>
      <c r="J1329" t="str">
        <f t="shared" si="225"/>
        <v>Endeavour House (Future Directions) Private Contractors Agency And Contracted Services Supported Living Adult Health &amp; Social Care</v>
      </c>
    </row>
    <row r="1330" spans="1:10" x14ac:dyDescent="0.35">
      <c r="A1330" t="str">
        <f t="shared" si="222"/>
        <v>OCT</v>
      </c>
      <c r="B1330" t="str">
        <f t="shared" si="213"/>
        <v>20</v>
      </c>
      <c r="C1330" t="str">
        <f t="shared" si="214"/>
        <v>2020/21</v>
      </c>
      <c r="D1330" t="str">
        <f t="shared" si="226"/>
        <v>SS SL 114904</v>
      </c>
      <c r="E1330" t="str">
        <f t="shared" si="215"/>
        <v>SS</v>
      </c>
      <c r="F1330" t="s">
        <v>25</v>
      </c>
      <c r="G1330" t="s">
        <v>22</v>
      </c>
      <c r="H1330">
        <v>132.80000000000001</v>
      </c>
      <c r="I1330" t="str">
        <f t="shared" si="224"/>
        <v>Future Directions CIC</v>
      </c>
      <c r="J1330" t="str">
        <f t="shared" si="225"/>
        <v>Endeavour House (Future Directions) Private Contractors Agency And Contracted Services Supported Living Adult Health &amp; Social Care</v>
      </c>
    </row>
    <row r="1331" spans="1:10" x14ac:dyDescent="0.35">
      <c r="A1331" t="str">
        <f t="shared" si="222"/>
        <v>OCT</v>
      </c>
      <c r="B1331" t="str">
        <f t="shared" si="213"/>
        <v>20</v>
      </c>
      <c r="C1331" t="str">
        <f t="shared" si="214"/>
        <v>2020/21</v>
      </c>
      <c r="D1331" t="str">
        <f t="shared" si="226"/>
        <v>SS SL 114904</v>
      </c>
      <c r="E1331" t="str">
        <f t="shared" si="215"/>
        <v>SS</v>
      </c>
      <c r="F1331" t="s">
        <v>25</v>
      </c>
      <c r="G1331" t="s">
        <v>22</v>
      </c>
      <c r="H1331">
        <v>-3.32</v>
      </c>
      <c r="I1331" t="str">
        <f t="shared" si="224"/>
        <v>Future Directions CIC</v>
      </c>
      <c r="J1331" t="str">
        <f t="shared" si="225"/>
        <v>Endeavour House (Future Directions) Private Contractors Agency And Contracted Services Supported Living Adult Health &amp; Social Care</v>
      </c>
    </row>
    <row r="1332" spans="1:10" x14ac:dyDescent="0.35">
      <c r="A1332" t="str">
        <f t="shared" si="222"/>
        <v>OCT</v>
      </c>
      <c r="B1332" t="str">
        <f t="shared" si="213"/>
        <v>20</v>
      </c>
      <c r="C1332" t="str">
        <f t="shared" si="214"/>
        <v>2020/21</v>
      </c>
      <c r="D1332" t="str">
        <f t="shared" si="226"/>
        <v>SS SL 114904</v>
      </c>
      <c r="E1332" t="str">
        <f t="shared" si="215"/>
        <v>SS</v>
      </c>
      <c r="F1332" t="s">
        <v>25</v>
      </c>
      <c r="G1332" t="s">
        <v>22</v>
      </c>
      <c r="H1332">
        <v>132.80000000000001</v>
      </c>
      <c r="I1332" t="str">
        <f t="shared" si="224"/>
        <v>Future Directions CIC</v>
      </c>
      <c r="J1332" t="str">
        <f t="shared" si="225"/>
        <v>Endeavour House (Future Directions) Private Contractors Agency And Contracted Services Supported Living Adult Health &amp; Social Care</v>
      </c>
    </row>
    <row r="1333" spans="1:10" x14ac:dyDescent="0.35">
      <c r="A1333" t="str">
        <f t="shared" si="222"/>
        <v>OCT</v>
      </c>
      <c r="B1333" t="str">
        <f t="shared" si="213"/>
        <v>20</v>
      </c>
      <c r="C1333" t="str">
        <f t="shared" si="214"/>
        <v>2020/21</v>
      </c>
      <c r="D1333" t="str">
        <f t="shared" si="226"/>
        <v>SS SL 114904</v>
      </c>
      <c r="E1333" t="str">
        <f t="shared" si="215"/>
        <v>SS</v>
      </c>
      <c r="F1333" t="s">
        <v>25</v>
      </c>
      <c r="G1333" t="s">
        <v>22</v>
      </c>
      <c r="H1333">
        <v>2028.52</v>
      </c>
      <c r="I1333" t="str">
        <f t="shared" si="224"/>
        <v>Future Directions CIC</v>
      </c>
      <c r="J1333" t="str">
        <f t="shared" si="225"/>
        <v>Endeavour House (Future Directions) Private Contractors Agency And Contracted Services Supported Living Adult Health &amp; Social Care</v>
      </c>
    </row>
    <row r="1334" spans="1:10" x14ac:dyDescent="0.35">
      <c r="A1334" t="str">
        <f t="shared" si="222"/>
        <v>OCT</v>
      </c>
      <c r="B1334" t="str">
        <f t="shared" si="213"/>
        <v>20</v>
      </c>
      <c r="C1334" t="str">
        <f t="shared" si="214"/>
        <v>2020/21</v>
      </c>
      <c r="D1334" t="str">
        <f t="shared" si="226"/>
        <v>SS SL 114904</v>
      </c>
      <c r="E1334" t="str">
        <f t="shared" si="215"/>
        <v>SS</v>
      </c>
      <c r="F1334" t="s">
        <v>25</v>
      </c>
      <c r="G1334" t="s">
        <v>22</v>
      </c>
      <c r="H1334">
        <v>571.20000000000005</v>
      </c>
      <c r="I1334" t="str">
        <f t="shared" si="224"/>
        <v>Future Directions CIC</v>
      </c>
      <c r="J1334" t="str">
        <f t="shared" si="225"/>
        <v>Endeavour House (Future Directions) Private Contractors Agency And Contracted Services Supported Living Adult Health &amp; Social Care</v>
      </c>
    </row>
    <row r="1335" spans="1:10" x14ac:dyDescent="0.35">
      <c r="A1335" t="str">
        <f t="shared" si="222"/>
        <v>OCT</v>
      </c>
      <c r="B1335" t="str">
        <f t="shared" si="213"/>
        <v>20</v>
      </c>
      <c r="C1335" t="str">
        <f t="shared" si="214"/>
        <v>2020/21</v>
      </c>
      <c r="D1335" t="str">
        <f t="shared" si="226"/>
        <v>SS SL 114904</v>
      </c>
      <c r="E1335" t="str">
        <f t="shared" si="215"/>
        <v>SS</v>
      </c>
      <c r="F1335" t="s">
        <v>25</v>
      </c>
      <c r="G1335" t="s">
        <v>22</v>
      </c>
      <c r="H1335">
        <v>571.20000000000005</v>
      </c>
      <c r="I1335" t="str">
        <f t="shared" si="224"/>
        <v>Future Directions CIC</v>
      </c>
      <c r="J1335" t="str">
        <f t="shared" si="225"/>
        <v>Endeavour House (Future Directions) Private Contractors Agency And Contracted Services Supported Living Adult Health &amp; Social Care</v>
      </c>
    </row>
    <row r="1336" spans="1:10" x14ac:dyDescent="0.35">
      <c r="A1336" t="str">
        <f t="shared" si="222"/>
        <v>OCT</v>
      </c>
      <c r="B1336" t="str">
        <f t="shared" si="213"/>
        <v>20</v>
      </c>
      <c r="C1336" t="str">
        <f t="shared" si="214"/>
        <v>2020/21</v>
      </c>
      <c r="D1336" t="str">
        <f t="shared" si="226"/>
        <v>SS SL 114904</v>
      </c>
      <c r="E1336" t="str">
        <f t="shared" si="215"/>
        <v>SS</v>
      </c>
      <c r="F1336" t="s">
        <v>25</v>
      </c>
      <c r="G1336" t="s">
        <v>22</v>
      </c>
      <c r="H1336">
        <v>2921.6</v>
      </c>
      <c r="I1336" t="str">
        <f t="shared" si="224"/>
        <v>Future Directions CIC</v>
      </c>
      <c r="J1336" t="str">
        <f t="shared" si="225"/>
        <v>Endeavour House (Future Directions) Private Contractors Agency And Contracted Services Supported Living Adult Health &amp; Social Care</v>
      </c>
    </row>
    <row r="1337" spans="1:10" x14ac:dyDescent="0.35">
      <c r="A1337" t="str">
        <f t="shared" si="222"/>
        <v>OCT</v>
      </c>
      <c r="B1337" t="str">
        <f t="shared" si="213"/>
        <v>20</v>
      </c>
      <c r="C1337" t="str">
        <f t="shared" si="214"/>
        <v>2020/21</v>
      </c>
      <c r="D1337" t="str">
        <f t="shared" si="226"/>
        <v>SS SL 114904</v>
      </c>
      <c r="E1337" t="str">
        <f t="shared" si="215"/>
        <v>SS</v>
      </c>
      <c r="F1337" t="s">
        <v>25</v>
      </c>
      <c r="G1337" t="s">
        <v>22</v>
      </c>
      <c r="H1337">
        <v>132.80000000000001</v>
      </c>
      <c r="I1337" t="str">
        <f t="shared" si="224"/>
        <v>Future Directions CIC</v>
      </c>
      <c r="J1337" t="str">
        <f t="shared" si="225"/>
        <v>Endeavour House (Future Directions) Private Contractors Agency And Contracted Services Supported Living Adult Health &amp; Social Care</v>
      </c>
    </row>
    <row r="1338" spans="1:10" x14ac:dyDescent="0.35">
      <c r="A1338" t="str">
        <f t="shared" si="222"/>
        <v>OCT</v>
      </c>
      <c r="B1338" t="str">
        <f t="shared" si="213"/>
        <v>20</v>
      </c>
      <c r="C1338" t="str">
        <f t="shared" si="214"/>
        <v>2020/21</v>
      </c>
      <c r="D1338" t="str">
        <f>"SS SL 114906"</f>
        <v>SS SL 114906</v>
      </c>
      <c r="E1338" t="str">
        <f t="shared" si="215"/>
        <v>SS</v>
      </c>
      <c r="F1338" t="s">
        <v>25</v>
      </c>
      <c r="G1338" t="s">
        <v>22</v>
      </c>
      <c r="H1338">
        <v>-0.01</v>
      </c>
      <c r="I1338" t="str">
        <f t="shared" si="224"/>
        <v>Future Directions CIC</v>
      </c>
      <c r="J1338" t="str">
        <f t="shared" si="225"/>
        <v>Endeavour House (Future Directions) Private Contractors Agency And Contracted Services Supported Living Adult Health &amp; Social Care</v>
      </c>
    </row>
    <row r="1339" spans="1:10" x14ac:dyDescent="0.35">
      <c r="A1339" t="str">
        <f t="shared" si="222"/>
        <v>OCT</v>
      </c>
      <c r="B1339" t="str">
        <f t="shared" si="213"/>
        <v>20</v>
      </c>
      <c r="C1339" t="str">
        <f t="shared" si="214"/>
        <v>2020/21</v>
      </c>
      <c r="D1339" t="str">
        <f>"SS SL 114906"</f>
        <v>SS SL 114906</v>
      </c>
      <c r="E1339" t="str">
        <f t="shared" si="215"/>
        <v>SS</v>
      </c>
      <c r="F1339" t="s">
        <v>25</v>
      </c>
      <c r="G1339" t="s">
        <v>22</v>
      </c>
      <c r="H1339">
        <v>619.52</v>
      </c>
      <c r="I1339" t="str">
        <f t="shared" si="224"/>
        <v>Future Directions CIC</v>
      </c>
      <c r="J1339" t="str">
        <f t="shared" si="225"/>
        <v>Endeavour House (Future Directions) Private Contractors Agency And Contracted Services Supported Living Adult Health &amp; Social Care</v>
      </c>
    </row>
    <row r="1340" spans="1:10" x14ac:dyDescent="0.35">
      <c r="A1340" t="str">
        <f t="shared" si="222"/>
        <v>OCT</v>
      </c>
      <c r="B1340" t="str">
        <f t="shared" si="213"/>
        <v>20</v>
      </c>
      <c r="C1340" t="str">
        <f t="shared" si="214"/>
        <v>2020/21</v>
      </c>
      <c r="D1340" t="str">
        <f t="shared" ref="D1340:D1345" si="227">"SS SL 114903"</f>
        <v>SS SL 114903</v>
      </c>
      <c r="E1340" t="str">
        <f t="shared" si="215"/>
        <v>SS</v>
      </c>
      <c r="F1340" t="s">
        <v>25</v>
      </c>
      <c r="G1340" t="s">
        <v>22</v>
      </c>
      <c r="H1340">
        <v>3506.75</v>
      </c>
      <c r="I1340" t="str">
        <f t="shared" si="224"/>
        <v>Future Directions CIC</v>
      </c>
      <c r="J1340" t="str">
        <f t="shared" si="225"/>
        <v>Endeavour House (Future Directions) Private Contractors Agency And Contracted Services Supported Living Adult Health &amp; Social Care</v>
      </c>
    </row>
    <row r="1341" spans="1:10" x14ac:dyDescent="0.35">
      <c r="A1341" t="str">
        <f t="shared" si="222"/>
        <v>OCT</v>
      </c>
      <c r="B1341" t="str">
        <f t="shared" si="213"/>
        <v>20</v>
      </c>
      <c r="C1341" t="str">
        <f t="shared" si="214"/>
        <v>2020/21</v>
      </c>
      <c r="D1341" t="str">
        <f t="shared" si="227"/>
        <v>SS SL 114903</v>
      </c>
      <c r="E1341" t="str">
        <f t="shared" si="215"/>
        <v>SS</v>
      </c>
      <c r="F1341" t="s">
        <v>25</v>
      </c>
      <c r="G1341" t="s">
        <v>22</v>
      </c>
      <c r="H1341">
        <v>714</v>
      </c>
      <c r="I1341" t="str">
        <f t="shared" si="224"/>
        <v>Future Directions CIC</v>
      </c>
      <c r="J1341" t="str">
        <f t="shared" si="225"/>
        <v>Endeavour House (Future Directions) Private Contractors Agency And Contracted Services Supported Living Adult Health &amp; Social Care</v>
      </c>
    </row>
    <row r="1342" spans="1:10" x14ac:dyDescent="0.35">
      <c r="A1342" t="str">
        <f t="shared" si="222"/>
        <v>OCT</v>
      </c>
      <c r="B1342" t="str">
        <f t="shared" si="213"/>
        <v>20</v>
      </c>
      <c r="C1342" t="str">
        <f t="shared" si="214"/>
        <v>2020/21</v>
      </c>
      <c r="D1342" t="str">
        <f t="shared" si="227"/>
        <v>SS SL 114903</v>
      </c>
      <c r="E1342" t="str">
        <f t="shared" si="215"/>
        <v>SS</v>
      </c>
      <c r="F1342" t="s">
        <v>25</v>
      </c>
      <c r="G1342" t="s">
        <v>22</v>
      </c>
      <c r="H1342">
        <v>714</v>
      </c>
      <c r="I1342" t="str">
        <f t="shared" si="224"/>
        <v>Future Directions CIC</v>
      </c>
      <c r="J1342" t="str">
        <f t="shared" si="225"/>
        <v>Endeavour House (Future Directions) Private Contractors Agency And Contracted Services Supported Living Adult Health &amp; Social Care</v>
      </c>
    </row>
    <row r="1343" spans="1:10" x14ac:dyDescent="0.35">
      <c r="A1343" t="str">
        <f t="shared" si="222"/>
        <v>OCT</v>
      </c>
      <c r="B1343" t="str">
        <f t="shared" si="213"/>
        <v>20</v>
      </c>
      <c r="C1343" t="str">
        <f t="shared" si="214"/>
        <v>2020/21</v>
      </c>
      <c r="D1343" t="str">
        <f t="shared" si="227"/>
        <v>SS SL 114903</v>
      </c>
      <c r="E1343" t="str">
        <f t="shared" si="215"/>
        <v>SS</v>
      </c>
      <c r="F1343" t="s">
        <v>25</v>
      </c>
      <c r="G1343" t="s">
        <v>22</v>
      </c>
      <c r="H1343">
        <v>3486</v>
      </c>
      <c r="I1343" t="str">
        <f t="shared" ref="I1343:I1368" si="228">"Future Directions CIC"</f>
        <v>Future Directions CIC</v>
      </c>
      <c r="J1343" t="str">
        <f t="shared" ref="J1343:J1368" si="229"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1344" spans="1:10" x14ac:dyDescent="0.35">
      <c r="A1344" t="str">
        <f t="shared" si="222"/>
        <v>OCT</v>
      </c>
      <c r="B1344" t="str">
        <f t="shared" si="213"/>
        <v>20</v>
      </c>
      <c r="C1344" t="str">
        <f t="shared" si="214"/>
        <v>2020/21</v>
      </c>
      <c r="D1344" t="str">
        <f t="shared" si="227"/>
        <v>SS SL 114903</v>
      </c>
      <c r="E1344" t="str">
        <f t="shared" si="215"/>
        <v>SS</v>
      </c>
      <c r="F1344" t="s">
        <v>25</v>
      </c>
      <c r="G1344" t="s">
        <v>22</v>
      </c>
      <c r="H1344">
        <v>3486</v>
      </c>
      <c r="I1344" t="str">
        <f t="shared" si="228"/>
        <v>Future Directions CIC</v>
      </c>
      <c r="J1344" t="str">
        <f t="shared" si="229"/>
        <v>Endeavour House (Future Directions) Private Contractors Agency And Contracted Services Supported Living Adult Health &amp; Social Care</v>
      </c>
    </row>
    <row r="1345" spans="1:10" x14ac:dyDescent="0.35">
      <c r="A1345" t="str">
        <f t="shared" si="222"/>
        <v>OCT</v>
      </c>
      <c r="B1345" t="str">
        <f t="shared" si="213"/>
        <v>20</v>
      </c>
      <c r="C1345" t="str">
        <f t="shared" si="214"/>
        <v>2020/21</v>
      </c>
      <c r="D1345" t="str">
        <f t="shared" si="227"/>
        <v>SS SL 114903</v>
      </c>
      <c r="E1345" t="str">
        <f t="shared" si="215"/>
        <v>SS</v>
      </c>
      <c r="F1345" t="s">
        <v>25</v>
      </c>
      <c r="G1345" t="s">
        <v>22</v>
      </c>
      <c r="H1345">
        <v>714</v>
      </c>
      <c r="I1345" t="str">
        <f t="shared" si="228"/>
        <v>Future Directions CIC</v>
      </c>
      <c r="J1345" t="str">
        <f t="shared" si="229"/>
        <v>Endeavour House (Future Directions) Private Contractors Agency And Contracted Services Supported Living Adult Health &amp; Social Care</v>
      </c>
    </row>
    <row r="1346" spans="1:10" x14ac:dyDescent="0.35">
      <c r="A1346" t="str">
        <f t="shared" si="222"/>
        <v>OCT</v>
      </c>
      <c r="B1346" t="str">
        <f t="shared" ref="B1346:B1409" si="230">"20"</f>
        <v>20</v>
      </c>
      <c r="C1346" t="str">
        <f t="shared" ref="C1346:C1409" si="231">"2020/21"</f>
        <v>2020/21</v>
      </c>
      <c r="D1346" t="str">
        <f t="shared" ref="D1346:D1359" si="232">"SS SL 114904"</f>
        <v>SS SL 114904</v>
      </c>
      <c r="E1346" t="str">
        <f t="shared" ref="E1346:E1409" si="233">LEFT(D1346,2)</f>
        <v>SS</v>
      </c>
      <c r="F1346" t="s">
        <v>25</v>
      </c>
      <c r="G1346" t="s">
        <v>22</v>
      </c>
      <c r="H1346">
        <v>166</v>
      </c>
      <c r="I1346" t="str">
        <f t="shared" si="228"/>
        <v>Future Directions CIC</v>
      </c>
      <c r="J1346" t="str">
        <f t="shared" si="229"/>
        <v>Endeavour House (Future Directions) Private Contractors Agency And Contracted Services Supported Living Adult Health &amp; Social Care</v>
      </c>
    </row>
    <row r="1347" spans="1:10" x14ac:dyDescent="0.35">
      <c r="A1347" t="str">
        <f t="shared" si="222"/>
        <v>OCT</v>
      </c>
      <c r="B1347" t="str">
        <f t="shared" si="230"/>
        <v>20</v>
      </c>
      <c r="C1347" t="str">
        <f t="shared" si="231"/>
        <v>2020/21</v>
      </c>
      <c r="D1347" t="str">
        <f t="shared" si="232"/>
        <v>SS SL 114904</v>
      </c>
      <c r="E1347" t="str">
        <f t="shared" si="233"/>
        <v>SS</v>
      </c>
      <c r="F1347" t="s">
        <v>25</v>
      </c>
      <c r="G1347" t="s">
        <v>22</v>
      </c>
      <c r="H1347">
        <v>714</v>
      </c>
      <c r="I1347" t="str">
        <f t="shared" si="228"/>
        <v>Future Directions CIC</v>
      </c>
      <c r="J1347" t="str">
        <f t="shared" si="229"/>
        <v>Endeavour House (Future Directions) Private Contractors Agency And Contracted Services Supported Living Adult Health &amp; Social Care</v>
      </c>
    </row>
    <row r="1348" spans="1:10" x14ac:dyDescent="0.35">
      <c r="A1348" t="str">
        <f t="shared" si="222"/>
        <v>OCT</v>
      </c>
      <c r="B1348" t="str">
        <f t="shared" si="230"/>
        <v>20</v>
      </c>
      <c r="C1348" t="str">
        <f t="shared" si="231"/>
        <v>2020/21</v>
      </c>
      <c r="D1348" t="str">
        <f t="shared" si="232"/>
        <v>SS SL 114904</v>
      </c>
      <c r="E1348" t="str">
        <f t="shared" si="233"/>
        <v>SS</v>
      </c>
      <c r="F1348" t="s">
        <v>25</v>
      </c>
      <c r="G1348" t="s">
        <v>22</v>
      </c>
      <c r="H1348">
        <v>3755.75</v>
      </c>
      <c r="I1348" t="str">
        <f t="shared" si="228"/>
        <v>Future Directions CIC</v>
      </c>
      <c r="J1348" t="str">
        <f t="shared" si="229"/>
        <v>Endeavour House (Future Directions) Private Contractors Agency And Contracted Services Supported Living Adult Health &amp; Social Care</v>
      </c>
    </row>
    <row r="1349" spans="1:10" x14ac:dyDescent="0.35">
      <c r="A1349" t="str">
        <f t="shared" si="222"/>
        <v>OCT</v>
      </c>
      <c r="B1349" t="str">
        <f t="shared" si="230"/>
        <v>20</v>
      </c>
      <c r="C1349" t="str">
        <f t="shared" si="231"/>
        <v>2020/21</v>
      </c>
      <c r="D1349" t="str">
        <f t="shared" si="232"/>
        <v>SS SL 114904</v>
      </c>
      <c r="E1349" t="str">
        <f t="shared" si="233"/>
        <v>SS</v>
      </c>
      <c r="F1349" t="s">
        <v>25</v>
      </c>
      <c r="G1349" t="s">
        <v>22</v>
      </c>
      <c r="H1349">
        <v>166</v>
      </c>
      <c r="I1349" t="str">
        <f t="shared" si="228"/>
        <v>Future Directions CIC</v>
      </c>
      <c r="J1349" t="str">
        <f t="shared" si="229"/>
        <v>Endeavour House (Future Directions) Private Contractors Agency And Contracted Services Supported Living Adult Health &amp; Social Care</v>
      </c>
    </row>
    <row r="1350" spans="1:10" x14ac:dyDescent="0.35">
      <c r="A1350" t="str">
        <f t="shared" si="222"/>
        <v>OCT</v>
      </c>
      <c r="B1350" t="str">
        <f t="shared" si="230"/>
        <v>20</v>
      </c>
      <c r="C1350" t="str">
        <f t="shared" si="231"/>
        <v>2020/21</v>
      </c>
      <c r="D1350" t="str">
        <f t="shared" si="232"/>
        <v>SS SL 114904</v>
      </c>
      <c r="E1350" t="str">
        <f t="shared" si="233"/>
        <v>SS</v>
      </c>
      <c r="F1350" t="s">
        <v>25</v>
      </c>
      <c r="G1350" t="s">
        <v>22</v>
      </c>
      <c r="H1350">
        <v>3652</v>
      </c>
      <c r="I1350" t="str">
        <f t="shared" si="228"/>
        <v>Future Directions CIC</v>
      </c>
      <c r="J1350" t="str">
        <f t="shared" si="229"/>
        <v>Endeavour House (Future Directions) Private Contractors Agency And Contracted Services Supported Living Adult Health &amp; Social Care</v>
      </c>
    </row>
    <row r="1351" spans="1:10" x14ac:dyDescent="0.35">
      <c r="A1351" t="str">
        <f t="shared" si="222"/>
        <v>OCT</v>
      </c>
      <c r="B1351" t="str">
        <f t="shared" si="230"/>
        <v>20</v>
      </c>
      <c r="C1351" t="str">
        <f t="shared" si="231"/>
        <v>2020/21</v>
      </c>
      <c r="D1351" t="str">
        <f t="shared" si="232"/>
        <v>SS SL 114904</v>
      </c>
      <c r="E1351" t="str">
        <f t="shared" si="233"/>
        <v>SS</v>
      </c>
      <c r="F1351" t="s">
        <v>25</v>
      </c>
      <c r="G1351" t="s">
        <v>22</v>
      </c>
      <c r="H1351">
        <v>714</v>
      </c>
      <c r="I1351" t="str">
        <f t="shared" si="228"/>
        <v>Future Directions CIC</v>
      </c>
      <c r="J1351" t="str">
        <f t="shared" si="229"/>
        <v>Endeavour House (Future Directions) Private Contractors Agency And Contracted Services Supported Living Adult Health &amp; Social Care</v>
      </c>
    </row>
    <row r="1352" spans="1:10" x14ac:dyDescent="0.35">
      <c r="A1352" t="str">
        <f t="shared" si="222"/>
        <v>OCT</v>
      </c>
      <c r="B1352" t="str">
        <f t="shared" si="230"/>
        <v>20</v>
      </c>
      <c r="C1352" t="str">
        <f t="shared" si="231"/>
        <v>2020/21</v>
      </c>
      <c r="D1352" t="str">
        <f t="shared" si="232"/>
        <v>SS SL 114904</v>
      </c>
      <c r="E1352" t="str">
        <f t="shared" si="233"/>
        <v>SS</v>
      </c>
      <c r="F1352" t="s">
        <v>25</v>
      </c>
      <c r="G1352" t="s">
        <v>22</v>
      </c>
      <c r="H1352">
        <v>166</v>
      </c>
      <c r="I1352" t="str">
        <f t="shared" si="228"/>
        <v>Future Directions CIC</v>
      </c>
      <c r="J1352" t="str">
        <f t="shared" si="229"/>
        <v>Endeavour House (Future Directions) Private Contractors Agency And Contracted Services Supported Living Adult Health &amp; Social Care</v>
      </c>
    </row>
    <row r="1353" spans="1:10" x14ac:dyDescent="0.35">
      <c r="A1353" t="str">
        <f t="shared" si="222"/>
        <v>OCT</v>
      </c>
      <c r="B1353" t="str">
        <f t="shared" si="230"/>
        <v>20</v>
      </c>
      <c r="C1353" t="str">
        <f t="shared" si="231"/>
        <v>2020/21</v>
      </c>
      <c r="D1353" t="str">
        <f t="shared" si="232"/>
        <v>SS SL 114904</v>
      </c>
      <c r="E1353" t="str">
        <f t="shared" si="233"/>
        <v>SS</v>
      </c>
      <c r="F1353" t="s">
        <v>25</v>
      </c>
      <c r="G1353" t="s">
        <v>22</v>
      </c>
      <c r="H1353">
        <v>714</v>
      </c>
      <c r="I1353" t="str">
        <f t="shared" si="228"/>
        <v>Future Directions CIC</v>
      </c>
      <c r="J1353" t="str">
        <f t="shared" si="229"/>
        <v>Endeavour House (Future Directions) Private Contractors Agency And Contracted Services Supported Living Adult Health &amp; Social Care</v>
      </c>
    </row>
    <row r="1354" spans="1:10" x14ac:dyDescent="0.35">
      <c r="A1354" t="str">
        <f t="shared" si="222"/>
        <v>OCT</v>
      </c>
      <c r="B1354" t="str">
        <f t="shared" si="230"/>
        <v>20</v>
      </c>
      <c r="C1354" t="str">
        <f t="shared" si="231"/>
        <v>2020/21</v>
      </c>
      <c r="D1354" t="str">
        <f t="shared" si="232"/>
        <v>SS SL 114904</v>
      </c>
      <c r="E1354" t="str">
        <f t="shared" si="233"/>
        <v>SS</v>
      </c>
      <c r="F1354" t="s">
        <v>25</v>
      </c>
      <c r="G1354" t="s">
        <v>22</v>
      </c>
      <c r="H1354">
        <v>-4.1500000000000004</v>
      </c>
      <c r="I1354" t="str">
        <f t="shared" si="228"/>
        <v>Future Directions CIC</v>
      </c>
      <c r="J1354" t="str">
        <f t="shared" si="229"/>
        <v>Endeavour House (Future Directions) Private Contractors Agency And Contracted Services Supported Living Adult Health &amp; Social Care</v>
      </c>
    </row>
    <row r="1355" spans="1:10" x14ac:dyDescent="0.35">
      <c r="A1355" t="str">
        <f t="shared" si="222"/>
        <v>OCT</v>
      </c>
      <c r="B1355" t="str">
        <f t="shared" si="230"/>
        <v>20</v>
      </c>
      <c r="C1355" t="str">
        <f t="shared" si="231"/>
        <v>2020/21</v>
      </c>
      <c r="D1355" t="str">
        <f t="shared" si="232"/>
        <v>SS SL 114904</v>
      </c>
      <c r="E1355" t="str">
        <f t="shared" si="233"/>
        <v>SS</v>
      </c>
      <c r="F1355" t="s">
        <v>25</v>
      </c>
      <c r="G1355" t="s">
        <v>22</v>
      </c>
      <c r="H1355">
        <v>2535.65</v>
      </c>
      <c r="I1355" t="str">
        <f t="shared" si="228"/>
        <v>Future Directions CIC</v>
      </c>
      <c r="J1355" t="str">
        <f t="shared" si="229"/>
        <v>Endeavour House (Future Directions) Private Contractors Agency And Contracted Services Supported Living Adult Health &amp; Social Care</v>
      </c>
    </row>
    <row r="1356" spans="1:10" x14ac:dyDescent="0.35">
      <c r="A1356" t="str">
        <f t="shared" si="222"/>
        <v>OCT</v>
      </c>
      <c r="B1356" t="str">
        <f t="shared" si="230"/>
        <v>20</v>
      </c>
      <c r="C1356" t="str">
        <f t="shared" si="231"/>
        <v>2020/21</v>
      </c>
      <c r="D1356" t="str">
        <f t="shared" si="232"/>
        <v>SS SL 114904</v>
      </c>
      <c r="E1356" t="str">
        <f t="shared" si="233"/>
        <v>SS</v>
      </c>
      <c r="F1356" t="s">
        <v>25</v>
      </c>
      <c r="G1356" t="s">
        <v>22</v>
      </c>
      <c r="H1356">
        <v>-4.1500000000000004</v>
      </c>
      <c r="I1356" t="str">
        <f t="shared" si="228"/>
        <v>Future Directions CIC</v>
      </c>
      <c r="J1356" t="str">
        <f t="shared" si="229"/>
        <v>Endeavour House (Future Directions) Private Contractors Agency And Contracted Services Supported Living Adult Health &amp; Social Care</v>
      </c>
    </row>
    <row r="1357" spans="1:10" x14ac:dyDescent="0.35">
      <c r="A1357" t="str">
        <f t="shared" si="222"/>
        <v>OCT</v>
      </c>
      <c r="B1357" t="str">
        <f t="shared" si="230"/>
        <v>20</v>
      </c>
      <c r="C1357" t="str">
        <f t="shared" si="231"/>
        <v>2020/21</v>
      </c>
      <c r="D1357" t="str">
        <f t="shared" si="232"/>
        <v>SS SL 114904</v>
      </c>
      <c r="E1357" t="str">
        <f t="shared" si="233"/>
        <v>SS</v>
      </c>
      <c r="F1357" t="s">
        <v>25</v>
      </c>
      <c r="G1357" t="s">
        <v>22</v>
      </c>
      <c r="H1357">
        <v>166</v>
      </c>
      <c r="I1357" t="str">
        <f t="shared" si="228"/>
        <v>Future Directions CIC</v>
      </c>
      <c r="J1357" t="str">
        <f t="shared" si="229"/>
        <v>Endeavour House (Future Directions) Private Contractors Agency And Contracted Services Supported Living Adult Health &amp; Social Care</v>
      </c>
    </row>
    <row r="1358" spans="1:10" x14ac:dyDescent="0.35">
      <c r="A1358" t="str">
        <f t="shared" si="222"/>
        <v>OCT</v>
      </c>
      <c r="B1358" t="str">
        <f t="shared" si="230"/>
        <v>20</v>
      </c>
      <c r="C1358" t="str">
        <f t="shared" si="231"/>
        <v>2020/21</v>
      </c>
      <c r="D1358" t="str">
        <f t="shared" si="232"/>
        <v>SS SL 114904</v>
      </c>
      <c r="E1358" t="str">
        <f t="shared" si="233"/>
        <v>SS</v>
      </c>
      <c r="F1358" t="s">
        <v>25</v>
      </c>
      <c r="G1358" t="s">
        <v>22</v>
      </c>
      <c r="H1358">
        <v>714</v>
      </c>
      <c r="I1358" t="str">
        <f t="shared" si="228"/>
        <v>Future Directions CIC</v>
      </c>
      <c r="J1358" t="str">
        <f t="shared" si="229"/>
        <v>Endeavour House (Future Directions) Private Contractors Agency And Contracted Services Supported Living Adult Health &amp; Social Care</v>
      </c>
    </row>
    <row r="1359" spans="1:10" x14ac:dyDescent="0.35">
      <c r="A1359" t="str">
        <f t="shared" si="222"/>
        <v>OCT</v>
      </c>
      <c r="B1359" t="str">
        <f t="shared" si="230"/>
        <v>20</v>
      </c>
      <c r="C1359" t="str">
        <f t="shared" si="231"/>
        <v>2020/21</v>
      </c>
      <c r="D1359" t="str">
        <f t="shared" si="232"/>
        <v>SS SL 114904</v>
      </c>
      <c r="E1359" t="str">
        <f t="shared" si="233"/>
        <v>SS</v>
      </c>
      <c r="F1359" t="s">
        <v>25</v>
      </c>
      <c r="G1359" t="s">
        <v>22</v>
      </c>
      <c r="H1359">
        <v>3033.65</v>
      </c>
      <c r="I1359" t="str">
        <f t="shared" si="228"/>
        <v>Future Directions CIC</v>
      </c>
      <c r="J1359" t="str">
        <f t="shared" si="229"/>
        <v>Endeavour House (Future Directions) Private Contractors Agency And Contracted Services Supported Living Adult Health &amp; Social Care</v>
      </c>
    </row>
    <row r="1360" spans="1:10" x14ac:dyDescent="0.35">
      <c r="A1360" t="str">
        <f t="shared" si="222"/>
        <v>OCT</v>
      </c>
      <c r="B1360" t="str">
        <f t="shared" si="230"/>
        <v>20</v>
      </c>
      <c r="C1360" t="str">
        <f t="shared" si="231"/>
        <v>2020/21</v>
      </c>
      <c r="D1360" t="str">
        <f t="shared" ref="D1360:D1366" si="234">"SS SL 114906"</f>
        <v>SS SL 114906</v>
      </c>
      <c r="E1360" t="str">
        <f t="shared" si="233"/>
        <v>SS</v>
      </c>
      <c r="F1360" t="s">
        <v>25</v>
      </c>
      <c r="G1360" t="s">
        <v>22</v>
      </c>
      <c r="H1360">
        <v>892.25</v>
      </c>
      <c r="I1360" t="str">
        <f t="shared" si="228"/>
        <v>Future Directions CIC</v>
      </c>
      <c r="J1360" t="str">
        <f t="shared" si="229"/>
        <v>Endeavour House (Future Directions) Private Contractors Agency And Contracted Services Supported Living Adult Health &amp; Social Care</v>
      </c>
    </row>
    <row r="1361" spans="1:10" x14ac:dyDescent="0.35">
      <c r="A1361" t="str">
        <f t="shared" si="222"/>
        <v>OCT</v>
      </c>
      <c r="B1361" t="str">
        <f t="shared" si="230"/>
        <v>20</v>
      </c>
      <c r="C1361" t="str">
        <f t="shared" si="231"/>
        <v>2020/21</v>
      </c>
      <c r="D1361" t="str">
        <f t="shared" si="234"/>
        <v>SS SL 114906</v>
      </c>
      <c r="E1361" t="str">
        <f t="shared" si="233"/>
        <v>SS</v>
      </c>
      <c r="F1361" t="s">
        <v>25</v>
      </c>
      <c r="G1361" t="s">
        <v>22</v>
      </c>
      <c r="H1361">
        <v>622.5</v>
      </c>
      <c r="I1361" t="str">
        <f t="shared" si="228"/>
        <v>Future Directions CIC</v>
      </c>
      <c r="J1361" t="str">
        <f t="shared" si="229"/>
        <v>Endeavour House (Future Directions) Private Contractors Agency And Contracted Services Supported Living Adult Health &amp; Social Care</v>
      </c>
    </row>
    <row r="1362" spans="1:10" x14ac:dyDescent="0.35">
      <c r="A1362" t="str">
        <f t="shared" si="222"/>
        <v>OCT</v>
      </c>
      <c r="B1362" t="str">
        <f t="shared" si="230"/>
        <v>20</v>
      </c>
      <c r="C1362" t="str">
        <f t="shared" si="231"/>
        <v>2020/21</v>
      </c>
      <c r="D1362" t="str">
        <f t="shared" si="234"/>
        <v>SS SL 114906</v>
      </c>
      <c r="E1362" t="str">
        <f t="shared" si="233"/>
        <v>SS</v>
      </c>
      <c r="F1362" t="s">
        <v>25</v>
      </c>
      <c r="G1362" t="s">
        <v>22</v>
      </c>
      <c r="H1362">
        <v>1245</v>
      </c>
      <c r="I1362" t="str">
        <f t="shared" si="228"/>
        <v>Future Directions CIC</v>
      </c>
      <c r="J1362" t="str">
        <f t="shared" si="229"/>
        <v>Endeavour House (Future Directions) Private Contractors Agency And Contracted Services Supported Living Adult Health &amp; Social Care</v>
      </c>
    </row>
    <row r="1363" spans="1:10" x14ac:dyDescent="0.35">
      <c r="A1363" t="str">
        <f t="shared" si="222"/>
        <v>OCT</v>
      </c>
      <c r="B1363" t="str">
        <f t="shared" si="230"/>
        <v>20</v>
      </c>
      <c r="C1363" t="str">
        <f t="shared" si="231"/>
        <v>2020/21</v>
      </c>
      <c r="D1363" t="str">
        <f t="shared" si="234"/>
        <v>SS SL 114906</v>
      </c>
      <c r="E1363" t="str">
        <f t="shared" si="233"/>
        <v>SS</v>
      </c>
      <c r="F1363" t="s">
        <v>25</v>
      </c>
      <c r="G1363" t="s">
        <v>22</v>
      </c>
      <c r="H1363">
        <v>830</v>
      </c>
      <c r="I1363" t="str">
        <f t="shared" si="228"/>
        <v>Future Directions CIC</v>
      </c>
      <c r="J1363" t="str">
        <f t="shared" si="229"/>
        <v>Endeavour House (Future Directions) Private Contractors Agency And Contracted Services Supported Living Adult Health &amp; Social Care</v>
      </c>
    </row>
    <row r="1364" spans="1:10" x14ac:dyDescent="0.35">
      <c r="A1364" t="str">
        <f t="shared" si="222"/>
        <v>OCT</v>
      </c>
      <c r="B1364" t="str">
        <f t="shared" si="230"/>
        <v>20</v>
      </c>
      <c r="C1364" t="str">
        <f t="shared" si="231"/>
        <v>2020/21</v>
      </c>
      <c r="D1364" t="str">
        <f t="shared" si="234"/>
        <v>SS SL 114906</v>
      </c>
      <c r="E1364" t="str">
        <f t="shared" si="233"/>
        <v>SS</v>
      </c>
      <c r="F1364" t="s">
        <v>25</v>
      </c>
      <c r="G1364" t="s">
        <v>22</v>
      </c>
      <c r="H1364">
        <v>332</v>
      </c>
      <c r="I1364" t="str">
        <f t="shared" si="228"/>
        <v>Future Directions CIC</v>
      </c>
      <c r="J1364" t="str">
        <f t="shared" si="229"/>
        <v>Endeavour House (Future Directions) Private Contractors Agency And Contracted Services Supported Living Adult Health &amp; Social Care</v>
      </c>
    </row>
    <row r="1365" spans="1:10" x14ac:dyDescent="0.35">
      <c r="A1365" t="str">
        <f t="shared" si="222"/>
        <v>OCT</v>
      </c>
      <c r="B1365" t="str">
        <f t="shared" si="230"/>
        <v>20</v>
      </c>
      <c r="C1365" t="str">
        <f t="shared" si="231"/>
        <v>2020/21</v>
      </c>
      <c r="D1365" t="str">
        <f t="shared" si="234"/>
        <v>SS SL 114906</v>
      </c>
      <c r="E1365" t="str">
        <f t="shared" si="233"/>
        <v>SS</v>
      </c>
      <c r="F1365" t="s">
        <v>25</v>
      </c>
      <c r="G1365" t="s">
        <v>22</v>
      </c>
      <c r="H1365">
        <v>-0.01</v>
      </c>
      <c r="I1365" t="str">
        <f t="shared" si="228"/>
        <v>Future Directions CIC</v>
      </c>
      <c r="J1365" t="str">
        <f t="shared" si="229"/>
        <v>Endeavour House (Future Directions) Private Contractors Agency And Contracted Services Supported Living Adult Health &amp; Social Care</v>
      </c>
    </row>
    <row r="1366" spans="1:10" x14ac:dyDescent="0.35">
      <c r="A1366" t="str">
        <f t="shared" si="222"/>
        <v>OCT</v>
      </c>
      <c r="B1366" t="str">
        <f t="shared" si="230"/>
        <v>20</v>
      </c>
      <c r="C1366" t="str">
        <f t="shared" si="231"/>
        <v>2020/21</v>
      </c>
      <c r="D1366" t="str">
        <f t="shared" si="234"/>
        <v>SS SL 114906</v>
      </c>
      <c r="E1366" t="str">
        <f t="shared" si="233"/>
        <v>SS</v>
      </c>
      <c r="F1366" t="s">
        <v>25</v>
      </c>
      <c r="G1366" t="s">
        <v>22</v>
      </c>
      <c r="H1366">
        <v>1355.4</v>
      </c>
      <c r="I1366" t="str">
        <f t="shared" si="228"/>
        <v>Future Directions CIC</v>
      </c>
      <c r="J1366" t="str">
        <f t="shared" si="229"/>
        <v>Endeavour House (Future Directions) Private Contractors Agency And Contracted Services Supported Living Adult Health &amp; Social Care</v>
      </c>
    </row>
    <row r="1367" spans="1:10" x14ac:dyDescent="0.35">
      <c r="A1367" t="str">
        <f t="shared" si="222"/>
        <v>OCT</v>
      </c>
      <c r="B1367" t="str">
        <f t="shared" si="230"/>
        <v>20</v>
      </c>
      <c r="C1367" t="str">
        <f t="shared" si="231"/>
        <v>2020/21</v>
      </c>
      <c r="D1367" t="str">
        <f>"SS SL 114903"</f>
        <v>SS SL 114903</v>
      </c>
      <c r="E1367" t="str">
        <f t="shared" si="233"/>
        <v>SS</v>
      </c>
      <c r="F1367" t="s">
        <v>25</v>
      </c>
      <c r="G1367" t="s">
        <v>22</v>
      </c>
      <c r="H1367">
        <v>3921.75</v>
      </c>
      <c r="I1367" t="str">
        <f t="shared" si="228"/>
        <v>Future Directions CIC</v>
      </c>
      <c r="J1367" t="str">
        <f t="shared" si="229"/>
        <v>Endeavour House (Future Directions) Private Contractors Agency And Contracted Services Supported Living Adult Health &amp; Social Care</v>
      </c>
    </row>
    <row r="1368" spans="1:10" x14ac:dyDescent="0.35">
      <c r="A1368" t="str">
        <f t="shared" si="222"/>
        <v>OCT</v>
      </c>
      <c r="B1368" t="str">
        <f t="shared" si="230"/>
        <v>20</v>
      </c>
      <c r="C1368" t="str">
        <f t="shared" si="231"/>
        <v>2020/21</v>
      </c>
      <c r="D1368" t="str">
        <f>"SS SL 114903"</f>
        <v>SS SL 114903</v>
      </c>
      <c r="E1368" t="str">
        <f t="shared" si="233"/>
        <v>SS</v>
      </c>
      <c r="F1368" t="s">
        <v>25</v>
      </c>
      <c r="G1368" t="s">
        <v>22</v>
      </c>
      <c r="H1368">
        <v>714</v>
      </c>
      <c r="I1368" t="str">
        <f t="shared" si="228"/>
        <v>Future Directions CIC</v>
      </c>
      <c r="J1368" t="str">
        <f t="shared" si="229"/>
        <v>Endeavour House (Future Directions) Private Contractors Agency And Contracted Services Supported Living Adult Health &amp; Social Care</v>
      </c>
    </row>
    <row r="1369" spans="1:10" x14ac:dyDescent="0.35">
      <c r="A1369" t="str">
        <f t="shared" si="222"/>
        <v>OCT</v>
      </c>
      <c r="B1369" t="str">
        <f t="shared" si="230"/>
        <v>20</v>
      </c>
      <c r="C1369" t="str">
        <f t="shared" si="231"/>
        <v>2020/21</v>
      </c>
      <c r="D1369" t="str">
        <f>"SS SL 114891"</f>
        <v>SS SL 114891</v>
      </c>
      <c r="E1369" t="str">
        <f t="shared" si="233"/>
        <v>SS</v>
      </c>
      <c r="F1369" t="s">
        <v>25</v>
      </c>
      <c r="G1369" t="s">
        <v>22</v>
      </c>
      <c r="H1369">
        <v>5345.2</v>
      </c>
      <c r="I1369" t="str">
        <f t="shared" ref="I1369:I1393" si="235">"Creative Support Ltd"</f>
        <v>Creative Support Ltd</v>
      </c>
      <c r="J1369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1370" spans="1:10" x14ac:dyDescent="0.35">
      <c r="A1370" t="str">
        <f t="shared" si="222"/>
        <v>OCT</v>
      </c>
      <c r="B1370" t="str">
        <f t="shared" si="230"/>
        <v>20</v>
      </c>
      <c r="C1370" t="str">
        <f t="shared" si="231"/>
        <v>2020/21</v>
      </c>
      <c r="D1370" t="str">
        <f>"SS SL 114891"</f>
        <v>SS SL 114891</v>
      </c>
      <c r="E1370" t="str">
        <f t="shared" si="233"/>
        <v>SS</v>
      </c>
      <c r="F1370" t="s">
        <v>25</v>
      </c>
      <c r="G1370" t="s">
        <v>22</v>
      </c>
      <c r="H1370">
        <v>4150</v>
      </c>
      <c r="I1370" t="str">
        <f t="shared" si="235"/>
        <v>Creative Support Ltd</v>
      </c>
      <c r="J1370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1371" spans="1:10" x14ac:dyDescent="0.35">
      <c r="A1371" t="str">
        <f t="shared" si="222"/>
        <v>OCT</v>
      </c>
      <c r="B1371" t="str">
        <f t="shared" si="230"/>
        <v>20</v>
      </c>
      <c r="C1371" t="str">
        <f t="shared" si="231"/>
        <v>2020/21</v>
      </c>
      <c r="D1371" t="str">
        <f>"SS SL 114891"</f>
        <v>SS SL 114891</v>
      </c>
      <c r="E1371" t="str">
        <f t="shared" si="233"/>
        <v>SS</v>
      </c>
      <c r="F1371" t="s">
        <v>25</v>
      </c>
      <c r="G1371" t="s">
        <v>22</v>
      </c>
      <c r="H1371">
        <v>2284.8000000000002</v>
      </c>
      <c r="I1371" t="str">
        <f t="shared" si="235"/>
        <v>Creative Support Ltd</v>
      </c>
      <c r="J1371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1372" spans="1:10" x14ac:dyDescent="0.35">
      <c r="A1372" t="str">
        <f t="shared" si="222"/>
        <v>OCT</v>
      </c>
      <c r="B1372" t="str">
        <f t="shared" si="230"/>
        <v>20</v>
      </c>
      <c r="C1372" t="str">
        <f t="shared" si="231"/>
        <v>2020/21</v>
      </c>
      <c r="D1372" t="str">
        <f t="shared" ref="D1372:D1377" si="236">"SS SL 114883"</f>
        <v>SS SL 114883</v>
      </c>
      <c r="E1372" t="str">
        <f t="shared" si="233"/>
        <v>SS</v>
      </c>
      <c r="F1372" t="s">
        <v>25</v>
      </c>
      <c r="G1372" t="s">
        <v>22</v>
      </c>
      <c r="H1372">
        <v>2988</v>
      </c>
      <c r="I1372" t="str">
        <f t="shared" si="235"/>
        <v>Creative Support Ltd</v>
      </c>
      <c r="J1372" t="str">
        <f t="shared" ref="J1372:J1377" si="237"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1373" spans="1:10" x14ac:dyDescent="0.35">
      <c r="A1373" t="str">
        <f t="shared" si="222"/>
        <v>OCT</v>
      </c>
      <c r="B1373" t="str">
        <f t="shared" si="230"/>
        <v>20</v>
      </c>
      <c r="C1373" t="str">
        <f t="shared" si="231"/>
        <v>2020/21</v>
      </c>
      <c r="D1373" t="str">
        <f t="shared" si="236"/>
        <v>SS SL 114883</v>
      </c>
      <c r="E1373" t="str">
        <f t="shared" si="233"/>
        <v>SS</v>
      </c>
      <c r="F1373" t="s">
        <v>25</v>
      </c>
      <c r="G1373" t="s">
        <v>22</v>
      </c>
      <c r="H1373">
        <v>3917.6</v>
      </c>
      <c r="I1373" t="str">
        <f t="shared" si="235"/>
        <v>Creative Support Ltd</v>
      </c>
      <c r="J1373" t="str">
        <f t="shared" si="237"/>
        <v>Beech House (Creative Support) Private Contractors Agency And Contracted Services Supported Living Adult Health &amp; Social Care</v>
      </c>
    </row>
    <row r="1374" spans="1:10" x14ac:dyDescent="0.35">
      <c r="A1374" t="str">
        <f t="shared" ref="A1374:A1427" si="238">"OCT"</f>
        <v>OCT</v>
      </c>
      <c r="B1374" t="str">
        <f t="shared" si="230"/>
        <v>20</v>
      </c>
      <c r="C1374" t="str">
        <f t="shared" si="231"/>
        <v>2020/21</v>
      </c>
      <c r="D1374" t="str">
        <f t="shared" si="236"/>
        <v>SS SL 114883</v>
      </c>
      <c r="E1374" t="str">
        <f t="shared" si="233"/>
        <v>SS</v>
      </c>
      <c r="F1374" t="s">
        <v>25</v>
      </c>
      <c r="G1374" t="s">
        <v>22</v>
      </c>
      <c r="H1374">
        <v>2124.8000000000002</v>
      </c>
      <c r="I1374" t="str">
        <f t="shared" si="235"/>
        <v>Creative Support Ltd</v>
      </c>
      <c r="J1374" t="str">
        <f t="shared" si="237"/>
        <v>Beech House (Creative Support) Private Contractors Agency And Contracted Services Supported Living Adult Health &amp; Social Care</v>
      </c>
    </row>
    <row r="1375" spans="1:10" x14ac:dyDescent="0.35">
      <c r="A1375" t="str">
        <f t="shared" si="238"/>
        <v>OCT</v>
      </c>
      <c r="B1375" t="str">
        <f t="shared" si="230"/>
        <v>20</v>
      </c>
      <c r="C1375" t="str">
        <f t="shared" si="231"/>
        <v>2020/21</v>
      </c>
      <c r="D1375" t="str">
        <f t="shared" si="236"/>
        <v>SS SL 114883</v>
      </c>
      <c r="E1375" t="str">
        <f t="shared" si="233"/>
        <v>SS</v>
      </c>
      <c r="F1375" t="s">
        <v>25</v>
      </c>
      <c r="G1375" t="s">
        <v>22</v>
      </c>
      <c r="H1375">
        <v>2284.8000000000002</v>
      </c>
      <c r="I1375" t="str">
        <f t="shared" si="235"/>
        <v>Creative Support Ltd</v>
      </c>
      <c r="J1375" t="str">
        <f t="shared" si="237"/>
        <v>Beech House (Creative Support) Private Contractors Agency And Contracted Services Supported Living Adult Health &amp; Social Care</v>
      </c>
    </row>
    <row r="1376" spans="1:10" x14ac:dyDescent="0.35">
      <c r="A1376" t="str">
        <f t="shared" si="238"/>
        <v>OCT</v>
      </c>
      <c r="B1376" t="str">
        <f t="shared" si="230"/>
        <v>20</v>
      </c>
      <c r="C1376" t="str">
        <f t="shared" si="231"/>
        <v>2020/21</v>
      </c>
      <c r="D1376" t="str">
        <f t="shared" si="236"/>
        <v>SS SL 114883</v>
      </c>
      <c r="E1376" t="str">
        <f t="shared" si="233"/>
        <v>SS</v>
      </c>
      <c r="F1376" t="s">
        <v>25</v>
      </c>
      <c r="G1376" t="s">
        <v>22</v>
      </c>
      <c r="H1376">
        <v>1759.6</v>
      </c>
      <c r="I1376" t="str">
        <f t="shared" si="235"/>
        <v>Creative Support Ltd</v>
      </c>
      <c r="J1376" t="str">
        <f t="shared" si="237"/>
        <v>Beech House (Creative Support) Private Contractors Agency And Contracted Services Supported Living Adult Health &amp; Social Care</v>
      </c>
    </row>
    <row r="1377" spans="1:10" x14ac:dyDescent="0.35">
      <c r="A1377" t="str">
        <f t="shared" si="238"/>
        <v>OCT</v>
      </c>
      <c r="B1377" t="str">
        <f t="shared" si="230"/>
        <v>20</v>
      </c>
      <c r="C1377" t="str">
        <f t="shared" si="231"/>
        <v>2020/21</v>
      </c>
      <c r="D1377" t="str">
        <f t="shared" si="236"/>
        <v>SS SL 114883</v>
      </c>
      <c r="E1377" t="str">
        <f t="shared" si="233"/>
        <v>SS</v>
      </c>
      <c r="F1377" t="s">
        <v>25</v>
      </c>
      <c r="G1377" t="s">
        <v>22</v>
      </c>
      <c r="H1377">
        <v>3154</v>
      </c>
      <c r="I1377" t="str">
        <f t="shared" si="235"/>
        <v>Creative Support Ltd</v>
      </c>
      <c r="J1377" t="str">
        <f t="shared" si="237"/>
        <v>Beech House (Creative Support) Private Contractors Agency And Contracted Services Supported Living Adult Health &amp; Social Care</v>
      </c>
    </row>
    <row r="1378" spans="1:10" x14ac:dyDescent="0.35">
      <c r="A1378" t="str">
        <f t="shared" si="238"/>
        <v>OCT</v>
      </c>
      <c r="B1378" t="str">
        <f t="shared" si="230"/>
        <v>20</v>
      </c>
      <c r="C1378" t="str">
        <f t="shared" si="231"/>
        <v>2020/21</v>
      </c>
      <c r="D1378" t="str">
        <f t="shared" ref="D1378:D1383" si="239">"SS SL 114882"</f>
        <v>SS SL 114882</v>
      </c>
      <c r="E1378" t="str">
        <f t="shared" si="233"/>
        <v>SS</v>
      </c>
      <c r="F1378" t="s">
        <v>25</v>
      </c>
      <c r="G1378" t="s">
        <v>22</v>
      </c>
      <c r="H1378">
        <v>2357.1999999999998</v>
      </c>
      <c r="I1378" t="str">
        <f t="shared" si="235"/>
        <v>Creative Support Ltd</v>
      </c>
      <c r="J1378" t="str">
        <f t="shared" ref="J1378:J1383" si="240"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1379" spans="1:10" x14ac:dyDescent="0.35">
      <c r="A1379" t="str">
        <f t="shared" si="238"/>
        <v>OCT</v>
      </c>
      <c r="B1379" t="str">
        <f t="shared" si="230"/>
        <v>20</v>
      </c>
      <c r="C1379" t="str">
        <f t="shared" si="231"/>
        <v>2020/21</v>
      </c>
      <c r="D1379" t="str">
        <f t="shared" si="239"/>
        <v>SS SL 114882</v>
      </c>
      <c r="E1379" t="str">
        <f t="shared" si="233"/>
        <v>SS</v>
      </c>
      <c r="F1379" t="s">
        <v>25</v>
      </c>
      <c r="G1379" t="s">
        <v>22</v>
      </c>
      <c r="H1379">
        <v>2284.8000000000002</v>
      </c>
      <c r="I1379" t="str">
        <f t="shared" si="235"/>
        <v>Creative Support Ltd</v>
      </c>
      <c r="J1379" t="str">
        <f t="shared" si="240"/>
        <v>Railway Terrace (Creative Support) Private Contractors Agency And Contracted Services Supported Living Adult Health &amp; Social Care</v>
      </c>
    </row>
    <row r="1380" spans="1:10" x14ac:dyDescent="0.35">
      <c r="A1380" t="str">
        <f t="shared" si="238"/>
        <v>OCT</v>
      </c>
      <c r="B1380" t="str">
        <f t="shared" si="230"/>
        <v>20</v>
      </c>
      <c r="C1380" t="str">
        <f t="shared" si="231"/>
        <v>2020/21</v>
      </c>
      <c r="D1380" t="str">
        <f t="shared" si="239"/>
        <v>SS SL 114882</v>
      </c>
      <c r="E1380" t="str">
        <f t="shared" si="233"/>
        <v>SS</v>
      </c>
      <c r="F1380" t="s">
        <v>25</v>
      </c>
      <c r="G1380" t="s">
        <v>22</v>
      </c>
      <c r="H1380">
        <v>2158</v>
      </c>
      <c r="I1380" t="str">
        <f t="shared" si="235"/>
        <v>Creative Support Ltd</v>
      </c>
      <c r="J1380" t="str">
        <f t="shared" si="240"/>
        <v>Railway Terrace (Creative Support) Private Contractors Agency And Contracted Services Supported Living Adult Health &amp; Social Care</v>
      </c>
    </row>
    <row r="1381" spans="1:10" x14ac:dyDescent="0.35">
      <c r="A1381" t="str">
        <f t="shared" si="238"/>
        <v>OCT</v>
      </c>
      <c r="B1381" t="str">
        <f t="shared" si="230"/>
        <v>20</v>
      </c>
      <c r="C1381" t="str">
        <f t="shared" si="231"/>
        <v>2020/21</v>
      </c>
      <c r="D1381" t="str">
        <f t="shared" si="239"/>
        <v>SS SL 114882</v>
      </c>
      <c r="E1381" t="str">
        <f t="shared" si="233"/>
        <v>SS</v>
      </c>
      <c r="F1381" t="s">
        <v>25</v>
      </c>
      <c r="G1381" t="s">
        <v>22</v>
      </c>
      <c r="H1381">
        <v>1626.8</v>
      </c>
      <c r="I1381" t="str">
        <f t="shared" si="235"/>
        <v>Creative Support Ltd</v>
      </c>
      <c r="J1381" t="str">
        <f t="shared" si="240"/>
        <v>Railway Terrace (Creative Support) Private Contractors Agency And Contracted Services Supported Living Adult Health &amp; Social Care</v>
      </c>
    </row>
    <row r="1382" spans="1:10" x14ac:dyDescent="0.35">
      <c r="A1382" t="str">
        <f t="shared" si="238"/>
        <v>OCT</v>
      </c>
      <c r="B1382" t="str">
        <f t="shared" si="230"/>
        <v>20</v>
      </c>
      <c r="C1382" t="str">
        <f t="shared" si="231"/>
        <v>2020/21</v>
      </c>
      <c r="D1382" t="str">
        <f t="shared" si="239"/>
        <v>SS SL 114882</v>
      </c>
      <c r="E1382" t="str">
        <f t="shared" si="233"/>
        <v>SS</v>
      </c>
      <c r="F1382" t="s">
        <v>25</v>
      </c>
      <c r="G1382" t="s">
        <v>22</v>
      </c>
      <c r="H1382">
        <v>2158</v>
      </c>
      <c r="I1382" t="str">
        <f t="shared" si="235"/>
        <v>Creative Support Ltd</v>
      </c>
      <c r="J1382" t="str">
        <f t="shared" si="240"/>
        <v>Railway Terrace (Creative Support) Private Contractors Agency And Contracted Services Supported Living Adult Health &amp; Social Care</v>
      </c>
    </row>
    <row r="1383" spans="1:10" x14ac:dyDescent="0.35">
      <c r="A1383" t="str">
        <f t="shared" si="238"/>
        <v>OCT</v>
      </c>
      <c r="B1383" t="str">
        <f t="shared" si="230"/>
        <v>20</v>
      </c>
      <c r="C1383" t="str">
        <f t="shared" si="231"/>
        <v>2020/21</v>
      </c>
      <c r="D1383" t="str">
        <f t="shared" si="239"/>
        <v>SS SL 114882</v>
      </c>
      <c r="E1383" t="str">
        <f t="shared" si="233"/>
        <v>SS</v>
      </c>
      <c r="F1383" t="s">
        <v>25</v>
      </c>
      <c r="G1383" t="s">
        <v>22</v>
      </c>
      <c r="H1383">
        <v>2490</v>
      </c>
      <c r="I1383" t="str">
        <f t="shared" si="235"/>
        <v>Creative Support Ltd</v>
      </c>
      <c r="J1383" t="str">
        <f t="shared" si="240"/>
        <v>Railway Terrace (Creative Support) Private Contractors Agency And Contracted Services Supported Living Adult Health &amp; Social Care</v>
      </c>
    </row>
    <row r="1384" spans="1:10" x14ac:dyDescent="0.35">
      <c r="A1384" t="str">
        <f t="shared" si="238"/>
        <v>OCT</v>
      </c>
      <c r="B1384" t="str">
        <f t="shared" si="230"/>
        <v>20</v>
      </c>
      <c r="C1384" t="str">
        <f t="shared" si="231"/>
        <v>2020/21</v>
      </c>
      <c r="D1384" t="str">
        <f>"SS SL 114892"</f>
        <v>SS SL 114892</v>
      </c>
      <c r="E1384" t="str">
        <f t="shared" si="233"/>
        <v>SS</v>
      </c>
      <c r="F1384" t="s">
        <v>25</v>
      </c>
      <c r="G1384" t="s">
        <v>22</v>
      </c>
      <c r="H1384">
        <v>2656</v>
      </c>
      <c r="I1384" t="str">
        <f t="shared" si="235"/>
        <v>Creative Support Ltd</v>
      </c>
      <c r="J1384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385" spans="1:10" x14ac:dyDescent="0.35">
      <c r="A1385" t="str">
        <f t="shared" si="238"/>
        <v>OCT</v>
      </c>
      <c r="B1385" t="str">
        <f t="shared" si="230"/>
        <v>20</v>
      </c>
      <c r="C1385" t="str">
        <f t="shared" si="231"/>
        <v>2020/21</v>
      </c>
      <c r="D1385" t="str">
        <f>"SS SL 114892"</f>
        <v>SS SL 114892</v>
      </c>
      <c r="E1385" t="str">
        <f t="shared" si="233"/>
        <v>SS</v>
      </c>
      <c r="F1385" t="s">
        <v>25</v>
      </c>
      <c r="G1385" t="s">
        <v>22</v>
      </c>
      <c r="H1385">
        <v>2788.8</v>
      </c>
      <c r="I1385" t="str">
        <f t="shared" si="235"/>
        <v>Creative Support Ltd</v>
      </c>
      <c r="J1385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386" spans="1:10" x14ac:dyDescent="0.35">
      <c r="A1386" t="str">
        <f t="shared" si="238"/>
        <v>OCT</v>
      </c>
      <c r="B1386" t="str">
        <f t="shared" si="230"/>
        <v>20</v>
      </c>
      <c r="C1386" t="str">
        <f t="shared" si="231"/>
        <v>2020/21</v>
      </c>
      <c r="D1386" t="str">
        <f>"SS SL 114892"</f>
        <v>SS SL 114892</v>
      </c>
      <c r="E1386" t="str">
        <f t="shared" si="233"/>
        <v>SS</v>
      </c>
      <c r="F1386" t="s">
        <v>25</v>
      </c>
      <c r="G1386" t="s">
        <v>22</v>
      </c>
      <c r="H1386">
        <v>3253.6</v>
      </c>
      <c r="I1386" t="str">
        <f t="shared" si="235"/>
        <v>Creative Support Ltd</v>
      </c>
      <c r="J1386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387" spans="1:10" x14ac:dyDescent="0.35">
      <c r="A1387" t="str">
        <f t="shared" si="238"/>
        <v>OCT</v>
      </c>
      <c r="B1387" t="str">
        <f t="shared" si="230"/>
        <v>20</v>
      </c>
      <c r="C1387" t="str">
        <f t="shared" si="231"/>
        <v>2020/21</v>
      </c>
      <c r="D1387" t="str">
        <f>"SS SL 114892"</f>
        <v>SS SL 114892</v>
      </c>
      <c r="E1387" t="str">
        <f t="shared" si="233"/>
        <v>SS</v>
      </c>
      <c r="F1387" t="s">
        <v>25</v>
      </c>
      <c r="G1387" t="s">
        <v>22</v>
      </c>
      <c r="H1387">
        <v>3270.2</v>
      </c>
      <c r="I1387" t="str">
        <f t="shared" si="235"/>
        <v>Creative Support Ltd</v>
      </c>
      <c r="J1387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388" spans="1:10" x14ac:dyDescent="0.35">
      <c r="A1388" t="str">
        <f t="shared" si="238"/>
        <v>OCT</v>
      </c>
      <c r="B1388" t="str">
        <f t="shared" si="230"/>
        <v>20</v>
      </c>
      <c r="C1388" t="str">
        <f t="shared" si="231"/>
        <v>2020/21</v>
      </c>
      <c r="D1388" t="str">
        <f>"SS SL 114892"</f>
        <v>SS SL 114892</v>
      </c>
      <c r="E1388" t="str">
        <f t="shared" si="233"/>
        <v>SS</v>
      </c>
      <c r="F1388" t="s">
        <v>25</v>
      </c>
      <c r="G1388" t="s">
        <v>22</v>
      </c>
      <c r="H1388">
        <v>2284.8000000000002</v>
      </c>
      <c r="I1388" t="str">
        <f t="shared" si="235"/>
        <v>Creative Support Ltd</v>
      </c>
      <c r="J1388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1389" spans="1:10" x14ac:dyDescent="0.35">
      <c r="A1389" t="str">
        <f t="shared" si="238"/>
        <v>OCT</v>
      </c>
      <c r="B1389" t="str">
        <f t="shared" si="230"/>
        <v>20</v>
      </c>
      <c r="C1389" t="str">
        <f t="shared" si="231"/>
        <v>2020/21</v>
      </c>
      <c r="D1389" t="str">
        <f>"SS SL 114877"</f>
        <v>SS SL 114877</v>
      </c>
      <c r="E1389" t="str">
        <f t="shared" si="233"/>
        <v>SS</v>
      </c>
      <c r="F1389" t="s">
        <v>25</v>
      </c>
      <c r="G1389" t="s">
        <v>22</v>
      </c>
      <c r="H1389">
        <v>2526.7199999999998</v>
      </c>
      <c r="I1389" t="str">
        <f t="shared" si="235"/>
        <v>Creative Support Ltd</v>
      </c>
      <c r="J1389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390" spans="1:10" x14ac:dyDescent="0.35">
      <c r="A1390" t="str">
        <f t="shared" si="238"/>
        <v>OCT</v>
      </c>
      <c r="B1390" t="str">
        <f t="shared" si="230"/>
        <v>20</v>
      </c>
      <c r="C1390" t="str">
        <f t="shared" si="231"/>
        <v>2020/21</v>
      </c>
      <c r="D1390" t="str">
        <f>"SS SL 114877"</f>
        <v>SS SL 114877</v>
      </c>
      <c r="E1390" t="str">
        <f t="shared" si="233"/>
        <v>SS</v>
      </c>
      <c r="F1390" t="s">
        <v>25</v>
      </c>
      <c r="G1390" t="s">
        <v>22</v>
      </c>
      <c r="H1390">
        <v>-0.05</v>
      </c>
      <c r="I1390" t="str">
        <f t="shared" si="235"/>
        <v>Creative Support Ltd</v>
      </c>
      <c r="J1390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391" spans="1:10" x14ac:dyDescent="0.35">
      <c r="A1391" t="str">
        <f t="shared" si="238"/>
        <v>OCT</v>
      </c>
      <c r="B1391" t="str">
        <f t="shared" si="230"/>
        <v>20</v>
      </c>
      <c r="C1391" t="str">
        <f t="shared" si="231"/>
        <v>2020/21</v>
      </c>
      <c r="D1391" t="str">
        <f>"SS SL 114877"</f>
        <v>SS SL 114877</v>
      </c>
      <c r="E1391" t="str">
        <f t="shared" si="233"/>
        <v>SS</v>
      </c>
      <c r="F1391" t="s">
        <v>25</v>
      </c>
      <c r="G1391" t="s">
        <v>22</v>
      </c>
      <c r="H1391">
        <v>7428.88</v>
      </c>
      <c r="I1391" t="str">
        <f t="shared" si="235"/>
        <v>Creative Support Ltd</v>
      </c>
      <c r="J1391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392" spans="1:10" x14ac:dyDescent="0.35">
      <c r="A1392" t="str">
        <f t="shared" si="238"/>
        <v>OCT</v>
      </c>
      <c r="B1392" t="str">
        <f t="shared" si="230"/>
        <v>20</v>
      </c>
      <c r="C1392" t="str">
        <f t="shared" si="231"/>
        <v>2020/21</v>
      </c>
      <c r="D1392" t="str">
        <f>"SS SL 114877"</f>
        <v>SS SL 114877</v>
      </c>
      <c r="E1392" t="str">
        <f t="shared" si="233"/>
        <v>SS</v>
      </c>
      <c r="F1392" t="s">
        <v>25</v>
      </c>
      <c r="G1392" t="s">
        <v>22</v>
      </c>
      <c r="H1392">
        <v>8368.56</v>
      </c>
      <c r="I1392" t="str">
        <f t="shared" si="235"/>
        <v>Creative Support Ltd</v>
      </c>
      <c r="J1392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393" spans="1:10" x14ac:dyDescent="0.35">
      <c r="A1393" t="str">
        <f t="shared" si="238"/>
        <v>OCT</v>
      </c>
      <c r="B1393" t="str">
        <f t="shared" si="230"/>
        <v>20</v>
      </c>
      <c r="C1393" t="str">
        <f t="shared" si="231"/>
        <v>2020/21</v>
      </c>
      <c r="D1393" t="str">
        <f>"SS SL 114877"</f>
        <v>SS SL 114877</v>
      </c>
      <c r="E1393" t="str">
        <f t="shared" si="233"/>
        <v>SS</v>
      </c>
      <c r="F1393" t="s">
        <v>25</v>
      </c>
      <c r="G1393" t="s">
        <v>22</v>
      </c>
      <c r="H1393">
        <v>1493.36</v>
      </c>
      <c r="I1393" t="str">
        <f t="shared" si="235"/>
        <v>Creative Support Ltd</v>
      </c>
      <c r="J1393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394" spans="1:10" x14ac:dyDescent="0.35">
      <c r="A1394" t="str">
        <f t="shared" si="238"/>
        <v>OCT</v>
      </c>
      <c r="B1394" t="str">
        <f t="shared" si="230"/>
        <v>20</v>
      </c>
      <c r="C1394" t="str">
        <f t="shared" si="231"/>
        <v>2020/21</v>
      </c>
      <c r="D1394" t="str">
        <f>"SS SL 115828"</f>
        <v>SS SL 115828</v>
      </c>
      <c r="E1394" t="str">
        <f t="shared" si="233"/>
        <v>SS</v>
      </c>
      <c r="F1394" t="s">
        <v>25</v>
      </c>
      <c r="G1394" t="s">
        <v>22</v>
      </c>
      <c r="H1394">
        <v>2127.6</v>
      </c>
      <c r="I1394" t="str">
        <f>"Possabilities CIC"</f>
        <v>Possabilities CIC</v>
      </c>
      <c r="J1394" t="str">
        <f>"Yew Tree (Northowram( Private Contractors Agency And Contracted Services Supported Living Adult Health &amp; Social Care"</f>
        <v>Yew Tree (Northowram( Private Contractors Agency And Contracted Services Supported Living Adult Health &amp; Social Care</v>
      </c>
    </row>
    <row r="1395" spans="1:10" x14ac:dyDescent="0.35">
      <c r="A1395" t="str">
        <f t="shared" si="238"/>
        <v>OCT</v>
      </c>
      <c r="B1395" t="str">
        <f t="shared" si="230"/>
        <v>20</v>
      </c>
      <c r="C1395" t="str">
        <f t="shared" si="231"/>
        <v>2020/21</v>
      </c>
      <c r="E1395" t="str">
        <f t="shared" si="233"/>
        <v/>
      </c>
      <c r="F1395" t="s">
        <v>25</v>
      </c>
      <c r="G1395" t="s">
        <v>22</v>
      </c>
      <c r="H1395">
        <v>21727.23</v>
      </c>
      <c r="I1395" t="str">
        <f>"Anchor Trust"</f>
        <v>Anchor Trust</v>
      </c>
      <c r="J1395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1396" spans="1:10" x14ac:dyDescent="0.35">
      <c r="A1396" t="str">
        <f t="shared" si="238"/>
        <v>OCT</v>
      </c>
      <c r="B1396" t="str">
        <f t="shared" si="230"/>
        <v>20</v>
      </c>
      <c r="C1396" t="str">
        <f t="shared" si="231"/>
        <v>2020/21</v>
      </c>
      <c r="E1396" t="str">
        <f t="shared" si="233"/>
        <v/>
      </c>
      <c r="F1396" t="s">
        <v>25</v>
      </c>
      <c r="G1396" t="s">
        <v>22</v>
      </c>
      <c r="H1396">
        <v>17119.650000000001</v>
      </c>
      <c r="I1396" t="str">
        <f>"Anchor Trust"</f>
        <v>Anchor Trust</v>
      </c>
      <c r="J1396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1397" spans="1:10" x14ac:dyDescent="0.35">
      <c r="A1397" t="str">
        <f t="shared" si="238"/>
        <v>OCT</v>
      </c>
      <c r="B1397" t="str">
        <f t="shared" si="230"/>
        <v>20</v>
      </c>
      <c r="C1397" t="str">
        <f t="shared" si="231"/>
        <v>2020/21</v>
      </c>
      <c r="E1397" t="str">
        <f t="shared" si="233"/>
        <v/>
      </c>
      <c r="F1397" t="s">
        <v>25</v>
      </c>
      <c r="G1397" t="s">
        <v>22</v>
      </c>
      <c r="H1397">
        <v>-4174.84</v>
      </c>
      <c r="I1397" t="str">
        <f>"Anchor Trust"</f>
        <v>Anchor Trust</v>
      </c>
      <c r="J1397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1398" spans="1:10" x14ac:dyDescent="0.35">
      <c r="A1398" t="str">
        <f t="shared" si="238"/>
        <v>OCT</v>
      </c>
      <c r="B1398" t="str">
        <f t="shared" si="230"/>
        <v>20</v>
      </c>
      <c r="C1398" t="str">
        <f t="shared" si="231"/>
        <v>2020/21</v>
      </c>
      <c r="E1398" t="str">
        <f t="shared" si="233"/>
        <v/>
      </c>
      <c r="F1398" t="s">
        <v>25</v>
      </c>
      <c r="G1398" t="s">
        <v>22</v>
      </c>
      <c r="H1398">
        <v>-7186.56</v>
      </c>
      <c r="I1398" t="str">
        <f>"Anchor Trust"</f>
        <v>Anchor Trust</v>
      </c>
      <c r="J1398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1399" spans="1:10" x14ac:dyDescent="0.35">
      <c r="A1399" t="str">
        <f t="shared" si="238"/>
        <v>OCT</v>
      </c>
      <c r="B1399" t="str">
        <f t="shared" si="230"/>
        <v>20</v>
      </c>
      <c r="C1399" t="str">
        <f t="shared" si="231"/>
        <v>2020/21</v>
      </c>
      <c r="E1399" t="str">
        <f t="shared" si="233"/>
        <v/>
      </c>
      <c r="F1399" t="s">
        <v>25</v>
      </c>
      <c r="G1399" t="s">
        <v>22</v>
      </c>
      <c r="H1399">
        <v>21957.48</v>
      </c>
      <c r="I1399" t="str">
        <f>"The Mayfield Trust"</f>
        <v>The Mayfield Trust</v>
      </c>
      <c r="J1399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1400" spans="1:10" x14ac:dyDescent="0.35">
      <c r="A1400" t="str">
        <f t="shared" si="238"/>
        <v>OCT</v>
      </c>
      <c r="B1400" t="str">
        <f t="shared" si="230"/>
        <v>20</v>
      </c>
      <c r="C1400" t="str">
        <f t="shared" si="231"/>
        <v>2020/21</v>
      </c>
      <c r="E1400" t="str">
        <f t="shared" si="233"/>
        <v/>
      </c>
      <c r="F1400" t="s">
        <v>25</v>
      </c>
      <c r="G1400" t="s">
        <v>22</v>
      </c>
      <c r="H1400">
        <v>2554.12</v>
      </c>
      <c r="I1400" t="str">
        <f>"Bridgewood Trust Ltd"</f>
        <v>Bridgewood Trust Ltd</v>
      </c>
      <c r="J1400" t="str">
        <f t="shared" ref="J1400:J1405" si="241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1401" spans="1:10" x14ac:dyDescent="0.35">
      <c r="A1401" t="str">
        <f t="shared" si="238"/>
        <v>OCT</v>
      </c>
      <c r="B1401" t="str">
        <f t="shared" si="230"/>
        <v>20</v>
      </c>
      <c r="C1401" t="str">
        <f t="shared" si="231"/>
        <v>2020/21</v>
      </c>
      <c r="E1401" t="str">
        <f t="shared" si="233"/>
        <v/>
      </c>
      <c r="F1401" t="s">
        <v>25</v>
      </c>
      <c r="G1401" t="s">
        <v>22</v>
      </c>
      <c r="H1401">
        <v>13424.16</v>
      </c>
      <c r="I1401" t="str">
        <f>"Bridgewood Trust Ltd"</f>
        <v>Bridgewood Trust Ltd</v>
      </c>
      <c r="J1401" t="str">
        <f t="shared" si="241"/>
        <v>Residential Placements (Learning Disabilities)-Voluntary Home Voluntary Associations Agency And Contracted Services Residential &amp; Nursing Placem</v>
      </c>
    </row>
    <row r="1402" spans="1:10" x14ac:dyDescent="0.35">
      <c r="A1402" t="str">
        <f t="shared" si="238"/>
        <v>OCT</v>
      </c>
      <c r="B1402" t="str">
        <f t="shared" si="230"/>
        <v>20</v>
      </c>
      <c r="C1402" t="str">
        <f t="shared" si="231"/>
        <v>2020/21</v>
      </c>
      <c r="E1402" t="str">
        <f t="shared" si="233"/>
        <v/>
      </c>
      <c r="F1402" t="s">
        <v>25</v>
      </c>
      <c r="G1402" t="s">
        <v>22</v>
      </c>
      <c r="H1402">
        <v>1849.96</v>
      </c>
      <c r="I1402" t="str">
        <f>"Bridgewood Trust Ltd"</f>
        <v>Bridgewood Trust Ltd</v>
      </c>
      <c r="J1402" t="str">
        <f t="shared" si="241"/>
        <v>Residential Placements (Learning Disabilities)-Voluntary Home Voluntary Associations Agency And Contracted Services Residential &amp; Nursing Placem</v>
      </c>
    </row>
    <row r="1403" spans="1:10" x14ac:dyDescent="0.35">
      <c r="A1403" t="str">
        <f t="shared" si="238"/>
        <v>OCT</v>
      </c>
      <c r="B1403" t="str">
        <f t="shared" si="230"/>
        <v>20</v>
      </c>
      <c r="C1403" t="str">
        <f t="shared" si="231"/>
        <v>2020/21</v>
      </c>
      <c r="E1403" t="str">
        <f t="shared" si="233"/>
        <v/>
      </c>
      <c r="F1403" t="s">
        <v>25</v>
      </c>
      <c r="G1403" t="s">
        <v>22</v>
      </c>
      <c r="H1403">
        <v>2138.2399999999998</v>
      </c>
      <c r="I1403" t="str">
        <f>"Bridgewood Trust Ltd"</f>
        <v>Bridgewood Trust Ltd</v>
      </c>
      <c r="J1403" t="str">
        <f t="shared" si="241"/>
        <v>Residential Placements (Learning Disabilities)-Voluntary Home Voluntary Associations Agency And Contracted Services Residential &amp; Nursing Placem</v>
      </c>
    </row>
    <row r="1404" spans="1:10" x14ac:dyDescent="0.35">
      <c r="A1404" t="str">
        <f t="shared" si="238"/>
        <v>OCT</v>
      </c>
      <c r="B1404" t="str">
        <f t="shared" si="230"/>
        <v>20</v>
      </c>
      <c r="C1404" t="str">
        <f t="shared" si="231"/>
        <v>2020/21</v>
      </c>
      <c r="E1404" t="str">
        <f t="shared" si="233"/>
        <v/>
      </c>
      <c r="F1404" t="s">
        <v>25</v>
      </c>
      <c r="G1404" t="s">
        <v>22</v>
      </c>
      <c r="H1404">
        <v>27764.48</v>
      </c>
      <c r="I1404" t="str">
        <f>"Bridgewood Trust Ltd"</f>
        <v>Bridgewood Trust Ltd</v>
      </c>
      <c r="J1404" t="str">
        <f t="shared" si="241"/>
        <v>Residential Placements (Learning Disabilities)-Voluntary Home Voluntary Associations Agency And Contracted Services Residential &amp; Nursing Placem</v>
      </c>
    </row>
    <row r="1405" spans="1:10" x14ac:dyDescent="0.35">
      <c r="A1405" t="str">
        <f t="shared" si="238"/>
        <v>OCT</v>
      </c>
      <c r="B1405" t="str">
        <f t="shared" si="230"/>
        <v>20</v>
      </c>
      <c r="C1405" t="str">
        <f t="shared" si="231"/>
        <v>2020/21</v>
      </c>
      <c r="E1405" t="str">
        <f t="shared" si="233"/>
        <v/>
      </c>
      <c r="F1405" t="s">
        <v>25</v>
      </c>
      <c r="G1405" t="s">
        <v>22</v>
      </c>
      <c r="H1405">
        <v>6882.04</v>
      </c>
      <c r="I1405" t="str">
        <f>"The Mayfield Trust"</f>
        <v>The Mayfield Trust</v>
      </c>
      <c r="J1405" t="str">
        <f t="shared" si="241"/>
        <v>Residential Placements (Learning Disabilities)-Voluntary Home Voluntary Associations Agency And Contracted Services Residential &amp; Nursing Placem</v>
      </c>
    </row>
    <row r="1406" spans="1:10" x14ac:dyDescent="0.35">
      <c r="A1406" t="str">
        <f t="shared" si="238"/>
        <v>OCT</v>
      </c>
      <c r="B1406" t="str">
        <f t="shared" si="230"/>
        <v>20</v>
      </c>
      <c r="C1406" t="str">
        <f t="shared" si="231"/>
        <v>2020/21</v>
      </c>
      <c r="E1406" t="str">
        <f t="shared" si="233"/>
        <v/>
      </c>
      <c r="F1406" t="s">
        <v>25</v>
      </c>
      <c r="G1406" t="s">
        <v>22</v>
      </c>
      <c r="H1406">
        <v>6529.68</v>
      </c>
      <c r="I1406" t="str">
        <f>"Henshaws Society For Blind People re Red Admiral"</f>
        <v>Henshaws Society For Blind People re Red Admiral</v>
      </c>
      <c r="J1406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1407" spans="1:10" x14ac:dyDescent="0.35">
      <c r="A1407" t="str">
        <f t="shared" si="238"/>
        <v>OCT</v>
      </c>
      <c r="B1407" t="str">
        <f t="shared" si="230"/>
        <v>20</v>
      </c>
      <c r="C1407" t="str">
        <f t="shared" si="231"/>
        <v>2020/21</v>
      </c>
      <c r="E1407" t="str">
        <f t="shared" si="233"/>
        <v/>
      </c>
      <c r="F1407" t="s">
        <v>25</v>
      </c>
      <c r="G1407" t="s">
        <v>22</v>
      </c>
      <c r="H1407">
        <v>-1269</v>
      </c>
      <c r="I1407" t="str">
        <f>"The Mayfield Trust"</f>
        <v>The Mayfield Trust</v>
      </c>
      <c r="J1407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1408" spans="1:10" x14ac:dyDescent="0.35">
      <c r="A1408" t="str">
        <f t="shared" si="238"/>
        <v>OCT</v>
      </c>
      <c r="B1408" t="str">
        <f t="shared" si="230"/>
        <v>20</v>
      </c>
      <c r="C1408" t="str">
        <f t="shared" si="231"/>
        <v>2020/21</v>
      </c>
      <c r="E1408" t="str">
        <f t="shared" si="233"/>
        <v/>
      </c>
      <c r="F1408" t="s">
        <v>25</v>
      </c>
      <c r="G1408" t="s">
        <v>22</v>
      </c>
      <c r="H1408">
        <v>-423</v>
      </c>
      <c r="I1408" t="str">
        <f>"Bridgewood Trust Ltd"</f>
        <v>Bridgewood Trust Ltd</v>
      </c>
      <c r="J1408" t="str">
        <f t="shared" ref="J1408:J1414" si="242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1409" spans="1:10" x14ac:dyDescent="0.35">
      <c r="A1409" t="str">
        <f t="shared" si="238"/>
        <v>OCT</v>
      </c>
      <c r="B1409" t="str">
        <f t="shared" si="230"/>
        <v>20</v>
      </c>
      <c r="C1409" t="str">
        <f t="shared" si="231"/>
        <v>2020/21</v>
      </c>
      <c r="E1409" t="str">
        <f t="shared" si="233"/>
        <v/>
      </c>
      <c r="F1409" t="s">
        <v>25</v>
      </c>
      <c r="G1409" t="s">
        <v>22</v>
      </c>
      <c r="H1409">
        <v>-1692</v>
      </c>
      <c r="I1409" t="str">
        <f>"Bridgewood Trust Ltd"</f>
        <v>Bridgewood Trust Ltd</v>
      </c>
      <c r="J1409" t="str">
        <f t="shared" si="242"/>
        <v>Residential - Income Residential Placements Customer And Client Receipts Income Residential &amp; Nursing Placements (Learning Dis) Adult Health &amp; S</v>
      </c>
    </row>
    <row r="1410" spans="1:10" x14ac:dyDescent="0.35">
      <c r="A1410" t="str">
        <f t="shared" si="238"/>
        <v>OCT</v>
      </c>
      <c r="B1410" t="str">
        <f t="shared" ref="B1410:B1473" si="243">"20"</f>
        <v>20</v>
      </c>
      <c r="C1410" t="str">
        <f t="shared" ref="C1410:C1473" si="244">"2020/21"</f>
        <v>2020/21</v>
      </c>
      <c r="E1410" t="str">
        <f t="shared" ref="E1410:E1473" si="245">LEFT(D1410,2)</f>
        <v/>
      </c>
      <c r="F1410" t="s">
        <v>25</v>
      </c>
      <c r="G1410" t="s">
        <v>22</v>
      </c>
      <c r="H1410">
        <v>-595.4</v>
      </c>
      <c r="I1410" t="str">
        <f>"Bridgewood Trust Ltd"</f>
        <v>Bridgewood Trust Ltd</v>
      </c>
      <c r="J1410" t="str">
        <f t="shared" si="242"/>
        <v>Residential - Income Residential Placements Customer And Client Receipts Income Residential &amp; Nursing Placements (Learning Dis) Adult Health &amp; S</v>
      </c>
    </row>
    <row r="1411" spans="1:10" x14ac:dyDescent="0.35">
      <c r="A1411" t="str">
        <f t="shared" si="238"/>
        <v>OCT</v>
      </c>
      <c r="B1411" t="str">
        <f t="shared" si="243"/>
        <v>20</v>
      </c>
      <c r="C1411" t="str">
        <f t="shared" si="244"/>
        <v>2020/21</v>
      </c>
      <c r="E1411" t="str">
        <f t="shared" si="245"/>
        <v/>
      </c>
      <c r="F1411" t="s">
        <v>25</v>
      </c>
      <c r="G1411" t="s">
        <v>22</v>
      </c>
      <c r="H1411">
        <v>-423</v>
      </c>
      <c r="I1411" t="str">
        <f>"Bridgewood Trust Ltd"</f>
        <v>Bridgewood Trust Ltd</v>
      </c>
      <c r="J1411" t="str">
        <f t="shared" si="242"/>
        <v>Residential - Income Residential Placements Customer And Client Receipts Income Residential &amp; Nursing Placements (Learning Dis) Adult Health &amp; S</v>
      </c>
    </row>
    <row r="1412" spans="1:10" x14ac:dyDescent="0.35">
      <c r="A1412" t="str">
        <f t="shared" si="238"/>
        <v>OCT</v>
      </c>
      <c r="B1412" t="str">
        <f t="shared" si="243"/>
        <v>20</v>
      </c>
      <c r="C1412" t="str">
        <f t="shared" si="244"/>
        <v>2020/21</v>
      </c>
      <c r="E1412" t="str">
        <f t="shared" si="245"/>
        <v/>
      </c>
      <c r="F1412" t="s">
        <v>25</v>
      </c>
      <c r="G1412" t="s">
        <v>22</v>
      </c>
      <c r="H1412">
        <v>-4483.72</v>
      </c>
      <c r="I1412" t="str">
        <f>"Bridgewood Trust Ltd"</f>
        <v>Bridgewood Trust Ltd</v>
      </c>
      <c r="J1412" t="str">
        <f t="shared" si="242"/>
        <v>Residential - Income Residential Placements Customer And Client Receipts Income Residential &amp; Nursing Placements (Learning Dis) Adult Health &amp; S</v>
      </c>
    </row>
    <row r="1413" spans="1:10" x14ac:dyDescent="0.35">
      <c r="A1413" t="str">
        <f t="shared" si="238"/>
        <v>OCT</v>
      </c>
      <c r="B1413" t="str">
        <f t="shared" si="243"/>
        <v>20</v>
      </c>
      <c r="C1413" t="str">
        <f t="shared" si="244"/>
        <v>2020/21</v>
      </c>
      <c r="E1413" t="str">
        <f t="shared" si="245"/>
        <v/>
      </c>
      <c r="F1413" t="s">
        <v>25</v>
      </c>
      <c r="G1413" t="s">
        <v>22</v>
      </c>
      <c r="H1413">
        <v>-459</v>
      </c>
      <c r="I1413" t="str">
        <f>"The Mayfield Trust"</f>
        <v>The Mayfield Trust</v>
      </c>
      <c r="J1413" t="str">
        <f t="shared" si="242"/>
        <v>Residential - Income Residential Placements Customer And Client Receipts Income Residential &amp; Nursing Placements (Learning Dis) Adult Health &amp; S</v>
      </c>
    </row>
    <row r="1414" spans="1:10" x14ac:dyDescent="0.35">
      <c r="A1414" t="str">
        <f t="shared" si="238"/>
        <v>OCT</v>
      </c>
      <c r="B1414" t="str">
        <f t="shared" si="243"/>
        <v>20</v>
      </c>
      <c r="C1414" t="str">
        <f t="shared" si="244"/>
        <v>2020/21</v>
      </c>
      <c r="E1414" t="str">
        <f t="shared" si="245"/>
        <v/>
      </c>
      <c r="F1414" t="s">
        <v>25</v>
      </c>
      <c r="G1414" t="s">
        <v>22</v>
      </c>
      <c r="H1414">
        <v>-423</v>
      </c>
      <c r="I1414" t="str">
        <f>"Henshaws Society For Blind People re Red Admiral"</f>
        <v>Henshaws Society For Blind People re Red Admiral</v>
      </c>
      <c r="J1414" t="str">
        <f t="shared" si="242"/>
        <v>Residential - Income Residential Placements Customer And Client Receipts Income Residential &amp; Nursing Placements (Learning Dis) Adult Health &amp; S</v>
      </c>
    </row>
    <row r="1415" spans="1:10" x14ac:dyDescent="0.35">
      <c r="A1415" t="str">
        <f t="shared" si="238"/>
        <v>OCT</v>
      </c>
      <c r="B1415" t="str">
        <f t="shared" si="243"/>
        <v>20</v>
      </c>
      <c r="C1415" t="str">
        <f t="shared" si="244"/>
        <v>2020/21</v>
      </c>
      <c r="D1415" t="str">
        <f>"SS CO 113260"</f>
        <v>SS CO 113260</v>
      </c>
      <c r="E1415" t="str">
        <f t="shared" si="245"/>
        <v>SS</v>
      </c>
      <c r="F1415" t="s">
        <v>25</v>
      </c>
      <c r="G1415" t="s">
        <v>22</v>
      </c>
      <c r="H1415">
        <v>15922.58</v>
      </c>
      <c r="I1415" t="str">
        <f>"Alzheimers Society"</f>
        <v>Alzheimers Society</v>
      </c>
      <c r="J1415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1416" spans="1:10" x14ac:dyDescent="0.35">
      <c r="A1416" t="str">
        <f t="shared" si="238"/>
        <v>OCT</v>
      </c>
      <c r="B1416" t="str">
        <f t="shared" si="243"/>
        <v>20</v>
      </c>
      <c r="C1416" t="str">
        <f t="shared" si="244"/>
        <v>2020/21</v>
      </c>
      <c r="D1416" t="str">
        <f>"SS CO 113260"</f>
        <v>SS CO 113260</v>
      </c>
      <c r="E1416" t="str">
        <f t="shared" si="245"/>
        <v>SS</v>
      </c>
      <c r="F1416" t="s">
        <v>25</v>
      </c>
      <c r="G1416" t="s">
        <v>22</v>
      </c>
      <c r="H1416">
        <v>15922.58</v>
      </c>
      <c r="I1416" t="str">
        <f>"Alzheimers Society"</f>
        <v>Alzheimers Society</v>
      </c>
      <c r="J1416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1417" spans="1:10" x14ac:dyDescent="0.35">
      <c r="A1417" t="str">
        <f t="shared" si="238"/>
        <v>OCT</v>
      </c>
      <c r="B1417" t="str">
        <f t="shared" si="243"/>
        <v>20</v>
      </c>
      <c r="C1417" t="str">
        <f t="shared" si="244"/>
        <v>2020/21</v>
      </c>
      <c r="D1417" t="str">
        <f>"SS CO 113850"</f>
        <v>SS CO 113850</v>
      </c>
      <c r="E1417" t="str">
        <f t="shared" si="245"/>
        <v>SS</v>
      </c>
      <c r="F1417" t="s">
        <v>25</v>
      </c>
      <c r="G1417" t="s">
        <v>22</v>
      </c>
      <c r="H1417">
        <v>18016.669999999998</v>
      </c>
      <c r="I1417" t="str">
        <f>"Cloverleaf Advocacy 2000 Ltd"</f>
        <v>Cloverleaf Advocacy 2000 Ltd</v>
      </c>
      <c r="J1417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1418" spans="1:10" x14ac:dyDescent="0.35">
      <c r="A1418" t="str">
        <f t="shared" si="238"/>
        <v>OCT</v>
      </c>
      <c r="B1418" t="str">
        <f t="shared" si="243"/>
        <v>20</v>
      </c>
      <c r="C1418" t="str">
        <f t="shared" si="244"/>
        <v>2020/21</v>
      </c>
      <c r="D1418" t="str">
        <f>"SS CO 113368"</f>
        <v>SS CO 113368</v>
      </c>
      <c r="E1418" t="str">
        <f t="shared" si="245"/>
        <v>SS</v>
      </c>
      <c r="F1418" t="s">
        <v>25</v>
      </c>
      <c r="G1418" t="s">
        <v>22</v>
      </c>
      <c r="H1418">
        <v>1489</v>
      </c>
      <c r="I1418" t="str">
        <f>"Anchor Trust"</f>
        <v>Anchor Trust</v>
      </c>
      <c r="J1418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419" spans="1:10" x14ac:dyDescent="0.35">
      <c r="A1419" t="str">
        <f t="shared" si="238"/>
        <v>OCT</v>
      </c>
      <c r="B1419" t="str">
        <f t="shared" si="243"/>
        <v>20</v>
      </c>
      <c r="C1419" t="str">
        <f t="shared" si="244"/>
        <v>2020/21</v>
      </c>
      <c r="D1419" t="str">
        <f>"SS CO 113368"</f>
        <v>SS CO 113368</v>
      </c>
      <c r="E1419" t="str">
        <f t="shared" si="245"/>
        <v>SS</v>
      </c>
      <c r="F1419" t="s">
        <v>25</v>
      </c>
      <c r="G1419" t="s">
        <v>22</v>
      </c>
      <c r="H1419">
        <v>857.77</v>
      </c>
      <c r="I1419" t="str">
        <f>"Anchor Trust"</f>
        <v>Anchor Trust</v>
      </c>
      <c r="J1419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420" spans="1:10" x14ac:dyDescent="0.35">
      <c r="A1420" t="str">
        <f t="shared" si="238"/>
        <v>OCT</v>
      </c>
      <c r="B1420" t="str">
        <f t="shared" si="243"/>
        <v>20</v>
      </c>
      <c r="C1420" t="str">
        <f t="shared" si="244"/>
        <v>2020/21</v>
      </c>
      <c r="D1420" t="str">
        <f>"SS CO 113368"</f>
        <v>SS CO 113368</v>
      </c>
      <c r="E1420" t="str">
        <f t="shared" si="245"/>
        <v>SS</v>
      </c>
      <c r="F1420" t="s">
        <v>25</v>
      </c>
      <c r="G1420" t="s">
        <v>22</v>
      </c>
      <c r="H1420">
        <v>8213.7000000000007</v>
      </c>
      <c r="I1420" t="str">
        <f>"Anchor Trust"</f>
        <v>Anchor Trust</v>
      </c>
      <c r="J1420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421" spans="1:10" x14ac:dyDescent="0.35">
      <c r="A1421" t="str">
        <f t="shared" si="238"/>
        <v>OCT</v>
      </c>
      <c r="B1421" t="str">
        <f t="shared" si="243"/>
        <v>20</v>
      </c>
      <c r="C1421" t="str">
        <f t="shared" si="244"/>
        <v>2020/21</v>
      </c>
      <c r="D1421" t="str">
        <f>"SS CO 113368"</f>
        <v>SS CO 113368</v>
      </c>
      <c r="E1421" t="str">
        <f t="shared" si="245"/>
        <v>SS</v>
      </c>
      <c r="F1421" t="s">
        <v>25</v>
      </c>
      <c r="G1421" t="s">
        <v>22</v>
      </c>
      <c r="H1421">
        <v>556.01</v>
      </c>
      <c r="I1421" t="str">
        <f>"Anchor Trust"</f>
        <v>Anchor Trust</v>
      </c>
      <c r="J1421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422" spans="1:10" x14ac:dyDescent="0.35">
      <c r="A1422" t="str">
        <f t="shared" si="238"/>
        <v>OCT</v>
      </c>
      <c r="B1422" t="str">
        <f t="shared" si="243"/>
        <v>20</v>
      </c>
      <c r="C1422" t="str">
        <f t="shared" si="244"/>
        <v>2020/21</v>
      </c>
      <c r="D1422" t="str">
        <f>"SS FD 114113"</f>
        <v>SS FD 114113</v>
      </c>
      <c r="E1422" t="str">
        <f t="shared" si="245"/>
        <v>SS</v>
      </c>
      <c r="F1422" t="s">
        <v>25</v>
      </c>
      <c r="G1422" t="s">
        <v>22</v>
      </c>
      <c r="H1422">
        <v>346.47</v>
      </c>
      <c r="I1422" t="str">
        <f>"Age Uk Calderdale &amp; Kirklees"</f>
        <v>Age Uk Calderdale &amp; Kirklees</v>
      </c>
      <c r="J1422" t="s">
        <v>8</v>
      </c>
    </row>
    <row r="1423" spans="1:10" x14ac:dyDescent="0.35">
      <c r="A1423" t="str">
        <f t="shared" si="238"/>
        <v>OCT</v>
      </c>
      <c r="B1423" t="str">
        <f t="shared" si="243"/>
        <v>20</v>
      </c>
      <c r="C1423" t="str">
        <f t="shared" si="244"/>
        <v>2020/21</v>
      </c>
      <c r="D1423" t="str">
        <f>"SS FD 114113"</f>
        <v>SS FD 114113</v>
      </c>
      <c r="E1423" t="str">
        <f t="shared" si="245"/>
        <v>SS</v>
      </c>
      <c r="F1423" t="s">
        <v>25</v>
      </c>
      <c r="G1423" t="s">
        <v>22</v>
      </c>
      <c r="H1423">
        <v>-0.02</v>
      </c>
      <c r="I1423" t="str">
        <f>"Age Uk Calderdale &amp; Kirklees"</f>
        <v>Age Uk Calderdale &amp; Kirklees</v>
      </c>
      <c r="J1423" t="s">
        <v>8</v>
      </c>
    </row>
    <row r="1424" spans="1:10" x14ac:dyDescent="0.35">
      <c r="A1424" t="str">
        <f t="shared" si="238"/>
        <v>OCT</v>
      </c>
      <c r="B1424" t="str">
        <f t="shared" si="243"/>
        <v>20</v>
      </c>
      <c r="C1424" t="str">
        <f t="shared" si="244"/>
        <v>2020/21</v>
      </c>
      <c r="D1424" t="str">
        <f>"SS CO 113367"</f>
        <v>SS CO 113367</v>
      </c>
      <c r="E1424" t="str">
        <f t="shared" si="245"/>
        <v>SS</v>
      </c>
      <c r="F1424" t="s">
        <v>25</v>
      </c>
      <c r="G1424" t="s">
        <v>22</v>
      </c>
      <c r="H1424">
        <v>5708.2</v>
      </c>
      <c r="I1424" t="str">
        <f>"Cloverleaf Advocacy 2000 Ltd"</f>
        <v>Cloverleaf Advocacy 2000 Ltd</v>
      </c>
      <c r="J1424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1425" spans="1:10" x14ac:dyDescent="0.35">
      <c r="A1425" t="str">
        <f t="shared" si="238"/>
        <v>OCT</v>
      </c>
      <c r="B1425" t="str">
        <f t="shared" si="243"/>
        <v>20</v>
      </c>
      <c r="C1425" t="str">
        <f t="shared" si="244"/>
        <v>2020/21</v>
      </c>
      <c r="D1425" t="str">
        <f>"SS CO 112761"</f>
        <v>SS CO 112761</v>
      </c>
      <c r="E1425" t="str">
        <f t="shared" si="245"/>
        <v>SS</v>
      </c>
      <c r="F1425" t="s">
        <v>25</v>
      </c>
      <c r="G1425" t="s">
        <v>22</v>
      </c>
      <c r="H1425">
        <v>7402.25</v>
      </c>
      <c r="I1425" t="str">
        <f>"The Stroke Association"</f>
        <v>The Stroke Association</v>
      </c>
      <c r="J1425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1426" spans="1:10" x14ac:dyDescent="0.35">
      <c r="A1426" t="str">
        <f t="shared" si="238"/>
        <v>OCT</v>
      </c>
      <c r="B1426" t="str">
        <f t="shared" si="243"/>
        <v>20</v>
      </c>
      <c r="C1426" t="str">
        <f t="shared" si="244"/>
        <v>2020/21</v>
      </c>
      <c r="D1426" t="str">
        <f>"LS HO 205481"</f>
        <v>LS HO 205481</v>
      </c>
      <c r="E1426" t="str">
        <f t="shared" si="245"/>
        <v>LS</v>
      </c>
      <c r="F1426" t="s">
        <v>35</v>
      </c>
      <c r="G1426" t="s">
        <v>14</v>
      </c>
      <c r="H1426">
        <v>99</v>
      </c>
      <c r="I1426" t="str">
        <f>"APSE"</f>
        <v>APSE</v>
      </c>
      <c r="J1426" t="str">
        <f>"Training Expenses - Course Fees Expenses Employees And Related Expenses Highway Operations Green Space and Street Scene"</f>
        <v>Training Expenses - Course Fees Expenses Employees And Related Expenses Highway Operations Green Space and Street Scene</v>
      </c>
    </row>
    <row r="1427" spans="1:10" x14ac:dyDescent="0.35">
      <c r="A1427" t="str">
        <f t="shared" si="238"/>
        <v>OCT</v>
      </c>
      <c r="B1427" t="str">
        <f t="shared" si="243"/>
        <v>20</v>
      </c>
      <c r="C1427" t="str">
        <f t="shared" si="244"/>
        <v>2020/21</v>
      </c>
      <c r="D1427" t="str">
        <f>"EH WD 036392"</f>
        <v>EH WD 036392</v>
      </c>
      <c r="E1427" t="str">
        <f t="shared" si="245"/>
        <v>EH</v>
      </c>
      <c r="F1427" t="s">
        <v>39</v>
      </c>
      <c r="G1427" t="s">
        <v>18</v>
      </c>
      <c r="H1427">
        <v>2118.83</v>
      </c>
      <c r="I1427" t="str">
        <f>"Overgate Hospice"</f>
        <v>Overgate Hospice</v>
      </c>
      <c r="J1427" t="str">
        <f>"Recycling Credits Services Supplies And Services Waste Mgt - Recycling Environmental Services"</f>
        <v>Recycling Credits Services Supplies And Services Waste Mgt - Recycling Environmental Services</v>
      </c>
    </row>
    <row r="1428" spans="1:10" x14ac:dyDescent="0.35">
      <c r="A1428" t="str">
        <f t="shared" ref="A1428:A1491" si="246">"NOV"</f>
        <v>NOV</v>
      </c>
      <c r="B1428" t="str">
        <f t="shared" si="243"/>
        <v>20</v>
      </c>
      <c r="C1428" t="str">
        <f t="shared" si="244"/>
        <v>2020/21</v>
      </c>
      <c r="D1428" t="str">
        <f>"LS NE 206222"</f>
        <v>LS NE 206222</v>
      </c>
      <c r="E1428" t="str">
        <f t="shared" si="245"/>
        <v>LS</v>
      </c>
      <c r="F1428" t="s">
        <v>13</v>
      </c>
      <c r="G1428" t="s">
        <v>14</v>
      </c>
      <c r="H1428">
        <v>500</v>
      </c>
      <c r="I1428" t="str">
        <f>"Barkisland Cricket Club Ladies"</f>
        <v>Barkisland Cricket Club Ladies</v>
      </c>
      <c r="J1428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1429" spans="1:10" x14ac:dyDescent="0.35">
      <c r="A1429" t="str">
        <f t="shared" si="246"/>
        <v>NOV</v>
      </c>
      <c r="B1429" t="str">
        <f t="shared" si="243"/>
        <v>20</v>
      </c>
      <c r="C1429" t="str">
        <f t="shared" si="244"/>
        <v>2020/21</v>
      </c>
      <c r="D1429" t="str">
        <f>"LS NE 206242"</f>
        <v>LS NE 206242</v>
      </c>
      <c r="E1429" t="str">
        <f t="shared" si="245"/>
        <v>LS</v>
      </c>
      <c r="F1429" t="s">
        <v>13</v>
      </c>
      <c r="G1429" t="s">
        <v>14</v>
      </c>
      <c r="H1429">
        <v>480</v>
      </c>
      <c r="I1429" t="str">
        <f>"Halifax Minster"</f>
        <v>Halifax Minster</v>
      </c>
      <c r="J1429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1430" spans="1:10" x14ac:dyDescent="0.35">
      <c r="A1430" t="str">
        <f t="shared" si="246"/>
        <v>NOV</v>
      </c>
      <c r="B1430" t="str">
        <f t="shared" si="243"/>
        <v>20</v>
      </c>
      <c r="C1430" t="str">
        <f t="shared" si="244"/>
        <v>2020/21</v>
      </c>
      <c r="D1430" t="str">
        <f>"LS NE 206267"</f>
        <v>LS NE 206267</v>
      </c>
      <c r="E1430" t="str">
        <f t="shared" si="245"/>
        <v>LS</v>
      </c>
      <c r="F1430" t="s">
        <v>13</v>
      </c>
      <c r="G1430" t="s">
        <v>14</v>
      </c>
      <c r="H1430">
        <v>500</v>
      </c>
      <c r="I1430" t="str">
        <f>"Maurice Jagger Centre"</f>
        <v>Maurice Jagger Centre</v>
      </c>
      <c r="J1430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1431" spans="1:10" x14ac:dyDescent="0.35">
      <c r="A1431" t="str">
        <f t="shared" si="246"/>
        <v>NOV</v>
      </c>
      <c r="B1431" t="str">
        <f t="shared" si="243"/>
        <v>20</v>
      </c>
      <c r="C1431" t="str">
        <f t="shared" si="244"/>
        <v>2020/21</v>
      </c>
      <c r="D1431" t="str">
        <f>"LS NE 206327"</f>
        <v>LS NE 206327</v>
      </c>
      <c r="E1431" t="str">
        <f t="shared" si="245"/>
        <v>LS</v>
      </c>
      <c r="F1431" t="s">
        <v>13</v>
      </c>
      <c r="G1431" t="s">
        <v>14</v>
      </c>
      <c r="H1431">
        <v>500</v>
      </c>
      <c r="I1431" t="str">
        <f>"The Station Building Mytholmroyd C10 1174609"</f>
        <v>The Station Building Mytholmroyd C10 1174609</v>
      </c>
      <c r="J1431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1432" spans="1:10" x14ac:dyDescent="0.35">
      <c r="A1432" t="str">
        <f t="shared" si="246"/>
        <v>NOV</v>
      </c>
      <c r="B1432" t="str">
        <f t="shared" si="243"/>
        <v>20</v>
      </c>
      <c r="C1432" t="str">
        <f t="shared" si="244"/>
        <v>2020/21</v>
      </c>
      <c r="D1432" t="str">
        <f>"LS NE 206176"</f>
        <v>LS NE 206176</v>
      </c>
      <c r="E1432" t="str">
        <f t="shared" si="245"/>
        <v>LS</v>
      </c>
      <c r="F1432" t="s">
        <v>13</v>
      </c>
      <c r="G1432" t="s">
        <v>14</v>
      </c>
      <c r="H1432">
        <v>500</v>
      </c>
      <c r="I1432" t="str">
        <f>"Tuesday 2 O'Clock Club"</f>
        <v>Tuesday 2 O'Clock Club</v>
      </c>
      <c r="J1432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1433" spans="1:10" x14ac:dyDescent="0.35">
      <c r="A1433" t="str">
        <f t="shared" si="246"/>
        <v>NOV</v>
      </c>
      <c r="B1433" t="str">
        <f t="shared" si="243"/>
        <v>20</v>
      </c>
      <c r="C1433" t="str">
        <f t="shared" si="244"/>
        <v>2020/21</v>
      </c>
      <c r="D1433" t="str">
        <f>"LS GV 206067"</f>
        <v>LS GV 206067</v>
      </c>
      <c r="E1433" t="str">
        <f t="shared" si="245"/>
        <v>LS</v>
      </c>
      <c r="F1433" t="s">
        <v>17</v>
      </c>
      <c r="G1433" t="s">
        <v>18</v>
      </c>
      <c r="H1433">
        <v>6000</v>
      </c>
      <c r="I1433" t="str">
        <f>"Hebden Bridge Arts Festival"</f>
        <v>Hebden Bridge Arts Festival</v>
      </c>
      <c r="J1433" t="str">
        <f>"CO - Hebden Bridge Arts Festival Grants And Subscriptions Supplies And Services Policy and Voluntary Sector Economy and Investment"</f>
        <v>CO - Hebden Bridge Arts Festival Grants And Subscriptions Supplies And Services Policy and Voluntary Sector Economy and Investment</v>
      </c>
    </row>
    <row r="1434" spans="1:10" x14ac:dyDescent="0.35">
      <c r="A1434" t="str">
        <f t="shared" si="246"/>
        <v>NOV</v>
      </c>
      <c r="B1434" t="str">
        <f t="shared" si="243"/>
        <v>20</v>
      </c>
      <c r="C1434" t="str">
        <f t="shared" si="244"/>
        <v>2020/21</v>
      </c>
      <c r="D1434" t="str">
        <f>"LS GV 206245"</f>
        <v>LS GV 206245</v>
      </c>
      <c r="E1434" t="str">
        <f t="shared" si="245"/>
        <v>LS</v>
      </c>
      <c r="F1434" t="s">
        <v>17</v>
      </c>
      <c r="G1434" t="s">
        <v>18</v>
      </c>
      <c r="H1434">
        <v>18247</v>
      </c>
      <c r="I1434" t="str">
        <f>"Halifax Opportunities Trust"</f>
        <v>Halifax Opportunities Trust</v>
      </c>
      <c r="J1434" t="str">
        <f t="shared" ref="J1434:J1442" si="247">"Staying Well - Community Hubs Grants And Subscriptions Supplies And Services Policy and Voluntary Sector Economy and Investment"</f>
        <v>Staying Well - Community Hubs Grants And Subscriptions Supplies And Services Policy and Voluntary Sector Economy and Investment</v>
      </c>
    </row>
    <row r="1435" spans="1:10" x14ac:dyDescent="0.35">
      <c r="A1435" t="str">
        <f t="shared" si="246"/>
        <v>NOV</v>
      </c>
      <c r="B1435" t="str">
        <f t="shared" si="243"/>
        <v>20</v>
      </c>
      <c r="C1435" t="str">
        <f t="shared" si="244"/>
        <v>2020/21</v>
      </c>
      <c r="D1435" t="str">
        <f>"LS GV 206245"</f>
        <v>LS GV 206245</v>
      </c>
      <c r="E1435" t="str">
        <f t="shared" si="245"/>
        <v>LS</v>
      </c>
      <c r="F1435" t="s">
        <v>17</v>
      </c>
      <c r="G1435" t="s">
        <v>18</v>
      </c>
      <c r="H1435">
        <v>18247</v>
      </c>
      <c r="I1435" t="str">
        <f>"Halifax Opportunities Trust"</f>
        <v>Halifax Opportunities Trust</v>
      </c>
      <c r="J1435" t="str">
        <f t="shared" si="247"/>
        <v>Staying Well - Community Hubs Grants And Subscriptions Supplies And Services Policy and Voluntary Sector Economy and Investment</v>
      </c>
    </row>
    <row r="1436" spans="1:10" x14ac:dyDescent="0.35">
      <c r="A1436" t="str">
        <f t="shared" si="246"/>
        <v>NOV</v>
      </c>
      <c r="B1436" t="str">
        <f t="shared" si="243"/>
        <v>20</v>
      </c>
      <c r="C1436" t="str">
        <f t="shared" si="244"/>
        <v>2020/21</v>
      </c>
      <c r="D1436" t="str">
        <f>"LS GV 206245"</f>
        <v>LS GV 206245</v>
      </c>
      <c r="E1436" t="str">
        <f t="shared" si="245"/>
        <v>LS</v>
      </c>
      <c r="F1436" t="s">
        <v>17</v>
      </c>
      <c r="G1436" t="s">
        <v>18</v>
      </c>
      <c r="H1436">
        <v>18247</v>
      </c>
      <c r="I1436" t="str">
        <f>"Halifax Opportunities Trust"</f>
        <v>Halifax Opportunities Trust</v>
      </c>
      <c r="J1436" t="str">
        <f t="shared" si="247"/>
        <v>Staying Well - Community Hubs Grants And Subscriptions Supplies And Services Policy and Voluntary Sector Economy and Investment</v>
      </c>
    </row>
    <row r="1437" spans="1:10" x14ac:dyDescent="0.35">
      <c r="A1437" t="str">
        <f t="shared" si="246"/>
        <v>NOV</v>
      </c>
      <c r="B1437" t="str">
        <f t="shared" si="243"/>
        <v>20</v>
      </c>
      <c r="C1437" t="str">
        <f t="shared" si="244"/>
        <v>2020/21</v>
      </c>
      <c r="D1437" t="str">
        <f>"LS GV 206219"</f>
        <v>LS GV 206219</v>
      </c>
      <c r="E1437" t="str">
        <f t="shared" si="245"/>
        <v>LS</v>
      </c>
      <c r="F1437" t="s">
        <v>17</v>
      </c>
      <c r="G1437" t="s">
        <v>18</v>
      </c>
      <c r="H1437">
        <v>5625</v>
      </c>
      <c r="I1437" t="str">
        <f>"Hebden Bridge Community Association"</f>
        <v>Hebden Bridge Community Association</v>
      </c>
      <c r="J1437" t="str">
        <f t="shared" si="247"/>
        <v>Staying Well - Community Hubs Grants And Subscriptions Supplies And Services Policy and Voluntary Sector Economy and Investment</v>
      </c>
    </row>
    <row r="1438" spans="1:10" x14ac:dyDescent="0.35">
      <c r="A1438" t="str">
        <f t="shared" si="246"/>
        <v>NOV</v>
      </c>
      <c r="B1438" t="str">
        <f t="shared" si="243"/>
        <v>20</v>
      </c>
      <c r="C1438" t="str">
        <f t="shared" si="244"/>
        <v>2020/21</v>
      </c>
      <c r="D1438" t="str">
        <f>"LS GV 206219"</f>
        <v>LS GV 206219</v>
      </c>
      <c r="E1438" t="str">
        <f t="shared" si="245"/>
        <v>LS</v>
      </c>
      <c r="F1438" t="s">
        <v>17</v>
      </c>
      <c r="G1438" t="s">
        <v>18</v>
      </c>
      <c r="H1438">
        <v>5625</v>
      </c>
      <c r="I1438" t="str">
        <f>"Hebden Bridge Community Association"</f>
        <v>Hebden Bridge Community Association</v>
      </c>
      <c r="J1438" t="str">
        <f t="shared" si="247"/>
        <v>Staying Well - Community Hubs Grants And Subscriptions Supplies And Services Policy and Voluntary Sector Economy and Investment</v>
      </c>
    </row>
    <row r="1439" spans="1:10" x14ac:dyDescent="0.35">
      <c r="A1439" t="str">
        <f t="shared" si="246"/>
        <v>NOV</v>
      </c>
      <c r="B1439" t="str">
        <f t="shared" si="243"/>
        <v>20</v>
      </c>
      <c r="C1439" t="str">
        <f t="shared" si="244"/>
        <v>2020/21</v>
      </c>
      <c r="D1439" t="str">
        <f>"LS GV 206219"</f>
        <v>LS GV 206219</v>
      </c>
      <c r="E1439" t="str">
        <f t="shared" si="245"/>
        <v>LS</v>
      </c>
      <c r="F1439" t="s">
        <v>17</v>
      </c>
      <c r="G1439" t="s">
        <v>18</v>
      </c>
      <c r="H1439">
        <v>5625</v>
      </c>
      <c r="I1439" t="str">
        <f>"Hebden Bridge Community Association"</f>
        <v>Hebden Bridge Community Association</v>
      </c>
      <c r="J1439" t="str">
        <f t="shared" si="247"/>
        <v>Staying Well - Community Hubs Grants And Subscriptions Supplies And Services Policy and Voluntary Sector Economy and Investment</v>
      </c>
    </row>
    <row r="1440" spans="1:10" x14ac:dyDescent="0.35">
      <c r="A1440" t="str">
        <f t="shared" si="246"/>
        <v>NOV</v>
      </c>
      <c r="B1440" t="str">
        <f t="shared" si="243"/>
        <v>20</v>
      </c>
      <c r="C1440" t="str">
        <f t="shared" si="244"/>
        <v>2020/21</v>
      </c>
      <c r="D1440" t="str">
        <f>"LS GV 206246"</f>
        <v>LS GV 206246</v>
      </c>
      <c r="E1440" t="str">
        <f t="shared" si="245"/>
        <v>LS</v>
      </c>
      <c r="F1440" t="s">
        <v>17</v>
      </c>
      <c r="G1440" t="s">
        <v>18</v>
      </c>
      <c r="H1440">
        <v>13750</v>
      </c>
      <c r="I1440" t="str">
        <f>"North Halifax Partnership Ltd"</f>
        <v>North Halifax Partnership Ltd</v>
      </c>
      <c r="J1440" t="str">
        <f t="shared" si="247"/>
        <v>Staying Well - Community Hubs Grants And Subscriptions Supplies And Services Policy and Voluntary Sector Economy and Investment</v>
      </c>
    </row>
    <row r="1441" spans="1:10" x14ac:dyDescent="0.35">
      <c r="A1441" t="str">
        <f t="shared" si="246"/>
        <v>NOV</v>
      </c>
      <c r="B1441" t="str">
        <f t="shared" si="243"/>
        <v>20</v>
      </c>
      <c r="C1441" t="str">
        <f t="shared" si="244"/>
        <v>2020/21</v>
      </c>
      <c r="D1441" t="str">
        <f>"LS GV 206246"</f>
        <v>LS GV 206246</v>
      </c>
      <c r="E1441" t="str">
        <f t="shared" si="245"/>
        <v>LS</v>
      </c>
      <c r="F1441" t="s">
        <v>17</v>
      </c>
      <c r="G1441" t="s">
        <v>18</v>
      </c>
      <c r="H1441">
        <v>13750</v>
      </c>
      <c r="I1441" t="str">
        <f>"North Halifax Partnership Ltd"</f>
        <v>North Halifax Partnership Ltd</v>
      </c>
      <c r="J1441" t="str">
        <f t="shared" si="247"/>
        <v>Staying Well - Community Hubs Grants And Subscriptions Supplies And Services Policy and Voluntary Sector Economy and Investment</v>
      </c>
    </row>
    <row r="1442" spans="1:10" x14ac:dyDescent="0.35">
      <c r="A1442" t="str">
        <f t="shared" si="246"/>
        <v>NOV</v>
      </c>
      <c r="B1442" t="str">
        <f t="shared" si="243"/>
        <v>20</v>
      </c>
      <c r="C1442" t="str">
        <f t="shared" si="244"/>
        <v>2020/21</v>
      </c>
      <c r="D1442" t="str">
        <f>"LS GV 206246"</f>
        <v>LS GV 206246</v>
      </c>
      <c r="E1442" t="str">
        <f t="shared" si="245"/>
        <v>LS</v>
      </c>
      <c r="F1442" t="s">
        <v>17</v>
      </c>
      <c r="G1442" t="s">
        <v>18</v>
      </c>
      <c r="H1442">
        <v>13750</v>
      </c>
      <c r="I1442" t="str">
        <f>"North Halifax Partnership Ltd"</f>
        <v>North Halifax Partnership Ltd</v>
      </c>
      <c r="J1442" t="str">
        <f t="shared" si="247"/>
        <v>Staying Well - Community Hubs Grants And Subscriptions Supplies And Services Policy and Voluntary Sector Economy and Investment</v>
      </c>
    </row>
    <row r="1443" spans="1:10" x14ac:dyDescent="0.35">
      <c r="A1443" t="str">
        <f t="shared" si="246"/>
        <v>NOV</v>
      </c>
      <c r="B1443" t="str">
        <f t="shared" si="243"/>
        <v>20</v>
      </c>
      <c r="C1443" t="str">
        <f t="shared" si="244"/>
        <v>2020/21</v>
      </c>
      <c r="D1443" t="str">
        <f>"TF CI 000711"</f>
        <v>TF CI 000711</v>
      </c>
      <c r="E1443" t="str">
        <f t="shared" si="245"/>
        <v>TF</v>
      </c>
      <c r="F1443" t="s">
        <v>17</v>
      </c>
      <c r="G1443" t="s">
        <v>18</v>
      </c>
      <c r="H1443">
        <v>432.83</v>
      </c>
      <c r="I1443" t="str">
        <f>"The Piece Hall Trust"</f>
        <v>The Piece Hall Trust</v>
      </c>
      <c r="J1443" t="str">
        <f>"Rent Rent And Rates Premises And Related Expenses Halifax TIC Economy and Investment"</f>
        <v>Rent Rent And Rates Premises And Related Expenses Halifax TIC Economy and Investment</v>
      </c>
    </row>
    <row r="1444" spans="1:10" x14ac:dyDescent="0.35">
      <c r="A1444" t="str">
        <f t="shared" si="246"/>
        <v>NOV</v>
      </c>
      <c r="B1444" t="str">
        <f t="shared" si="243"/>
        <v>20</v>
      </c>
      <c r="C1444" t="str">
        <f t="shared" si="244"/>
        <v>2020/21</v>
      </c>
      <c r="D1444" t="str">
        <f>"LS GV 206252"</f>
        <v>LS GV 206252</v>
      </c>
      <c r="E1444" t="str">
        <f t="shared" si="245"/>
        <v>LS</v>
      </c>
      <c r="F1444" t="s">
        <v>17</v>
      </c>
      <c r="G1444" t="s">
        <v>18</v>
      </c>
      <c r="H1444">
        <v>45.41</v>
      </c>
      <c r="I1444" t="str">
        <f>"Centre For Local Economic Strategies Ltd"</f>
        <v>Centre For Local Economic Strategies Ltd</v>
      </c>
      <c r="J1444" t="str">
        <f>"Travel Subst &amp; Conf Expenses - General Expenses Supplies And Services Business Rates Pool - Inclusive Economy Economy and Investment"</f>
        <v>Travel Subst &amp; Conf Expenses - General Expenses Supplies And Services Business Rates Pool - Inclusive Economy Economy and Investment</v>
      </c>
    </row>
    <row r="1445" spans="1:10" x14ac:dyDescent="0.35">
      <c r="A1445" t="str">
        <f t="shared" si="246"/>
        <v>NOV</v>
      </c>
      <c r="B1445" t="str">
        <f t="shared" si="243"/>
        <v>20</v>
      </c>
      <c r="C1445" t="str">
        <f t="shared" si="244"/>
        <v>2020/21</v>
      </c>
      <c r="D1445" t="str">
        <f>"SC CK 217725"</f>
        <v>SC CK 217725</v>
      </c>
      <c r="E1445" t="str">
        <f t="shared" si="245"/>
        <v>SC</v>
      </c>
      <c r="F1445" t="s">
        <v>21</v>
      </c>
      <c r="G1445" t="s">
        <v>22</v>
      </c>
      <c r="H1445">
        <v>10000</v>
      </c>
      <c r="I1445" t="str">
        <f>"Unique Ways"</f>
        <v>Unique Ways</v>
      </c>
      <c r="J1445" t="str">
        <f>"Vulnerable groups Private Contractors Agency And Contracted Services Transformation Plan - grant funding Integrated commissioning - children's"</f>
        <v>Vulnerable groups Private Contractors Agency And Contracted Services Transformation Plan - grant funding Integrated commissioning - children's</v>
      </c>
    </row>
    <row r="1446" spans="1:10" x14ac:dyDescent="0.35">
      <c r="A1446" t="str">
        <f t="shared" si="246"/>
        <v>NOV</v>
      </c>
      <c r="B1446" t="str">
        <f t="shared" si="243"/>
        <v>20</v>
      </c>
      <c r="C1446" t="str">
        <f t="shared" si="244"/>
        <v>2020/21</v>
      </c>
      <c r="D1446" t="str">
        <f>"SC CK 215400"</f>
        <v>SC CK 215400</v>
      </c>
      <c r="E1446" t="str">
        <f t="shared" si="245"/>
        <v>SC</v>
      </c>
      <c r="F1446" t="s">
        <v>21</v>
      </c>
      <c r="G1446" t="s">
        <v>22</v>
      </c>
      <c r="H1446">
        <v>152481.74</v>
      </c>
      <c r="I1446" t="str">
        <f>"North Halifax Partnership Ltd"</f>
        <v>North Halifax Partnership Ltd</v>
      </c>
      <c r="J1446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1447" spans="1:10" x14ac:dyDescent="0.35">
      <c r="A1447" t="str">
        <f t="shared" si="246"/>
        <v>NOV</v>
      </c>
      <c r="B1447" t="str">
        <f t="shared" si="243"/>
        <v>20</v>
      </c>
      <c r="C1447" t="str">
        <f t="shared" si="244"/>
        <v>2020/21</v>
      </c>
      <c r="D1447" t="str">
        <f>"SC CK 217725"</f>
        <v>SC CK 217725</v>
      </c>
      <c r="E1447" t="str">
        <f t="shared" si="245"/>
        <v>SC</v>
      </c>
      <c r="F1447" t="s">
        <v>21</v>
      </c>
      <c r="G1447" t="s">
        <v>22</v>
      </c>
      <c r="H1447">
        <v>4455.5</v>
      </c>
      <c r="I1447" t="str">
        <f>"Unique Ways"</f>
        <v>Unique Ways</v>
      </c>
      <c r="J1447" t="str">
        <f>"Consultation &amp; Engagement Voluntary Associations Agency And Contracted Services CYP Commissioned Services Integrated commissioning - children's"</f>
        <v>Consultation &amp; Engagement Voluntary Associations Agency And Contracted Services CYP Commissioned Services Integrated commissioning - children's</v>
      </c>
    </row>
    <row r="1448" spans="1:10" x14ac:dyDescent="0.35">
      <c r="A1448" t="str">
        <f t="shared" si="246"/>
        <v>NOV</v>
      </c>
      <c r="B1448" t="str">
        <f t="shared" si="243"/>
        <v>20</v>
      </c>
      <c r="C1448" t="str">
        <f t="shared" si="244"/>
        <v>2020/21</v>
      </c>
      <c r="D1448" t="str">
        <f>"SC CK 217725"</f>
        <v>SC CK 217725</v>
      </c>
      <c r="E1448" t="str">
        <f t="shared" si="245"/>
        <v>SC</v>
      </c>
      <c r="F1448" t="s">
        <v>21</v>
      </c>
      <c r="G1448" t="s">
        <v>22</v>
      </c>
      <c r="H1448">
        <v>2500</v>
      </c>
      <c r="I1448" t="str">
        <f>"Unique Ways"</f>
        <v>Unique Ways</v>
      </c>
      <c r="J1448" t="str">
        <f>"Consultation &amp; Engagement Voluntary Associations Agency And Contracted Services CYP Commissioned Services Integrated commissioning - children's"</f>
        <v>Consultation &amp; Engagement Voluntary Associations Agency And Contracted Services CYP Commissioned Services Integrated commissioning - children's</v>
      </c>
    </row>
    <row r="1449" spans="1:10" x14ac:dyDescent="0.35">
      <c r="A1449" t="str">
        <f t="shared" si="246"/>
        <v>NOV</v>
      </c>
      <c r="B1449" t="str">
        <f t="shared" si="243"/>
        <v>20</v>
      </c>
      <c r="C1449" t="str">
        <f t="shared" si="244"/>
        <v>2020/21</v>
      </c>
      <c r="D1449" t="str">
        <f>"SC DC 217683"</f>
        <v>SC DC 217683</v>
      </c>
      <c r="E1449" t="str">
        <f t="shared" si="245"/>
        <v>SC</v>
      </c>
      <c r="F1449" t="s">
        <v>21</v>
      </c>
      <c r="G1449" t="s">
        <v>22</v>
      </c>
      <c r="H1449">
        <v>296.64</v>
      </c>
      <c r="I1449" t="str">
        <f>"Carers Trust Mid Yorkshire"</f>
        <v>Carers Trust Mid Yorkshire</v>
      </c>
      <c r="J1449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1450" spans="1:10" x14ac:dyDescent="0.35">
      <c r="A1450" t="str">
        <f t="shared" si="246"/>
        <v>NOV</v>
      </c>
      <c r="B1450" t="str">
        <f t="shared" si="243"/>
        <v>20</v>
      </c>
      <c r="C1450" t="str">
        <f t="shared" si="244"/>
        <v>2020/21</v>
      </c>
      <c r="D1450" t="str">
        <f>"SC DC 216886"</f>
        <v>SC DC 216886</v>
      </c>
      <c r="E1450" t="str">
        <f t="shared" si="245"/>
        <v>SC</v>
      </c>
      <c r="F1450" t="s">
        <v>21</v>
      </c>
      <c r="G1450" t="s">
        <v>22</v>
      </c>
      <c r="H1450">
        <v>247.2</v>
      </c>
      <c r="I1450" t="str">
        <f>"Carers Trust Mid Yorkshire"</f>
        <v>Carers Trust Mid Yorkshire</v>
      </c>
      <c r="J1450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1451" spans="1:10" x14ac:dyDescent="0.35">
      <c r="A1451" t="str">
        <f t="shared" si="246"/>
        <v>NOV</v>
      </c>
      <c r="B1451" t="str">
        <f t="shared" si="243"/>
        <v>20</v>
      </c>
      <c r="C1451" t="str">
        <f t="shared" si="244"/>
        <v>2020/21</v>
      </c>
      <c r="D1451" t="str">
        <f>"SC DC 217015"</f>
        <v>SC DC 217015</v>
      </c>
      <c r="E1451" t="str">
        <f t="shared" si="245"/>
        <v>SC</v>
      </c>
      <c r="F1451" t="s">
        <v>21</v>
      </c>
      <c r="G1451" t="s">
        <v>22</v>
      </c>
      <c r="H1451">
        <v>95.04</v>
      </c>
      <c r="I1451" t="str">
        <f>"The Mayfield Trust"</f>
        <v>The Mayfield Trust</v>
      </c>
      <c r="J1451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1452" spans="1:10" x14ac:dyDescent="0.35">
      <c r="A1452" t="str">
        <f t="shared" si="246"/>
        <v>NOV</v>
      </c>
      <c r="B1452" t="str">
        <f t="shared" si="243"/>
        <v>20</v>
      </c>
      <c r="C1452" t="str">
        <f t="shared" si="244"/>
        <v>2020/21</v>
      </c>
      <c r="D1452" t="str">
        <f>"CE PH 014103"</f>
        <v>CE PH 014103</v>
      </c>
      <c r="E1452" t="str">
        <f t="shared" si="245"/>
        <v>CE</v>
      </c>
      <c r="F1452" t="s">
        <v>23</v>
      </c>
      <c r="G1452" t="s">
        <v>24</v>
      </c>
      <c r="H1452">
        <v>249204.83</v>
      </c>
      <c r="I1452" t="str">
        <f>"Humankind"</f>
        <v>Humankind</v>
      </c>
      <c r="J1452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1453" spans="1:10" x14ac:dyDescent="0.35">
      <c r="A1453" t="str">
        <f t="shared" si="246"/>
        <v>NOV</v>
      </c>
      <c r="B1453" t="str">
        <f t="shared" si="243"/>
        <v>20</v>
      </c>
      <c r="C1453" t="str">
        <f t="shared" si="244"/>
        <v>2020/21</v>
      </c>
      <c r="D1453" t="str">
        <f>"CE PH 014103"</f>
        <v>CE PH 014103</v>
      </c>
      <c r="E1453" t="str">
        <f t="shared" si="245"/>
        <v>CE</v>
      </c>
      <c r="F1453" t="s">
        <v>23</v>
      </c>
      <c r="G1453" t="s">
        <v>24</v>
      </c>
      <c r="H1453">
        <v>249204.83</v>
      </c>
      <c r="I1453" t="str">
        <f>"Humankind"</f>
        <v>Humankind</v>
      </c>
      <c r="J1453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1454" spans="1:10" x14ac:dyDescent="0.35">
      <c r="A1454" t="str">
        <f t="shared" si="246"/>
        <v>NOV</v>
      </c>
      <c r="B1454" t="str">
        <f t="shared" si="243"/>
        <v>20</v>
      </c>
      <c r="C1454" t="str">
        <f t="shared" si="244"/>
        <v>2020/21</v>
      </c>
      <c r="D1454" t="str">
        <f>"CE PH 014272"</f>
        <v>CE PH 014272</v>
      </c>
      <c r="E1454" t="str">
        <f t="shared" si="245"/>
        <v>CE</v>
      </c>
      <c r="F1454" t="s">
        <v>23</v>
      </c>
      <c r="G1454" t="s">
        <v>24</v>
      </c>
      <c r="H1454">
        <v>125</v>
      </c>
      <c r="I1454" t="str">
        <f>"City Health Partnership CIC"</f>
        <v>City Health Partnership CIC</v>
      </c>
      <c r="J1454" t="str">
        <f>"Out of area GUM Private Contractors Agency And Contracted Services Sexual Health Public Health"</f>
        <v>Out of area GUM Private Contractors Agency And Contracted Services Sexual Health Public Health</v>
      </c>
    </row>
    <row r="1455" spans="1:10" x14ac:dyDescent="0.35">
      <c r="A1455" t="str">
        <f t="shared" si="246"/>
        <v>NOV</v>
      </c>
      <c r="B1455" t="str">
        <f t="shared" si="243"/>
        <v>20</v>
      </c>
      <c r="C1455" t="str">
        <f t="shared" si="244"/>
        <v>2020/21</v>
      </c>
      <c r="D1455" t="str">
        <f>"CE PH 014096"</f>
        <v>CE PH 014096</v>
      </c>
      <c r="E1455" t="str">
        <f t="shared" si="245"/>
        <v>CE</v>
      </c>
      <c r="F1455" t="s">
        <v>23</v>
      </c>
      <c r="G1455" t="s">
        <v>24</v>
      </c>
      <c r="H1455">
        <v>22682</v>
      </c>
      <c r="I1455" t="str">
        <f>"Humankind"</f>
        <v>Humankind</v>
      </c>
      <c r="J1455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1456" spans="1:10" x14ac:dyDescent="0.35">
      <c r="A1456" t="str">
        <f t="shared" si="246"/>
        <v>NOV</v>
      </c>
      <c r="B1456" t="str">
        <f t="shared" si="243"/>
        <v>20</v>
      </c>
      <c r="C1456" t="str">
        <f t="shared" si="244"/>
        <v>2020/21</v>
      </c>
      <c r="D1456" t="str">
        <f>"CE PH 014096"</f>
        <v>CE PH 014096</v>
      </c>
      <c r="E1456" t="str">
        <f t="shared" si="245"/>
        <v>CE</v>
      </c>
      <c r="F1456" t="s">
        <v>23</v>
      </c>
      <c r="G1456" t="s">
        <v>24</v>
      </c>
      <c r="H1456">
        <v>22682</v>
      </c>
      <c r="I1456" t="str">
        <f>"Humankind"</f>
        <v>Humankind</v>
      </c>
      <c r="J1456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1457" spans="1:10" x14ac:dyDescent="0.35">
      <c r="A1457" t="str">
        <f t="shared" si="246"/>
        <v>NOV</v>
      </c>
      <c r="B1457" t="str">
        <f t="shared" si="243"/>
        <v>20</v>
      </c>
      <c r="C1457" t="str">
        <f t="shared" si="244"/>
        <v>2020/21</v>
      </c>
      <c r="D1457" t="str">
        <f>"SS FD 113786"</f>
        <v>SS FD 113786</v>
      </c>
      <c r="E1457" t="str">
        <f t="shared" si="245"/>
        <v>SS</v>
      </c>
      <c r="F1457" t="s">
        <v>25</v>
      </c>
      <c r="G1457" t="s">
        <v>22</v>
      </c>
      <c r="H1457">
        <v>2329.88</v>
      </c>
      <c r="I1457" t="str">
        <f>"Helping Hands (HX)"</f>
        <v>Helping Hands (HX)</v>
      </c>
      <c r="J1457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458" spans="1:10" x14ac:dyDescent="0.35">
      <c r="A1458" t="str">
        <f t="shared" si="246"/>
        <v>NOV</v>
      </c>
      <c r="B1458" t="str">
        <f t="shared" si="243"/>
        <v>20</v>
      </c>
      <c r="C1458" t="str">
        <f t="shared" si="244"/>
        <v>2020/21</v>
      </c>
      <c r="D1458" t="str">
        <f>"SS FD 113790"</f>
        <v>SS FD 113790</v>
      </c>
      <c r="E1458" t="str">
        <f t="shared" si="245"/>
        <v>SS</v>
      </c>
      <c r="F1458" t="s">
        <v>25</v>
      </c>
      <c r="G1458" t="s">
        <v>22</v>
      </c>
      <c r="H1458">
        <v>4323.8100000000004</v>
      </c>
      <c r="I1458" t="str">
        <f>"The Hive (Halifax) Ltd"</f>
        <v>The Hive (Halifax) Ltd</v>
      </c>
      <c r="J1458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459" spans="1:10" x14ac:dyDescent="0.35">
      <c r="A1459" t="str">
        <f t="shared" si="246"/>
        <v>NOV</v>
      </c>
      <c r="B1459" t="str">
        <f t="shared" si="243"/>
        <v>20</v>
      </c>
      <c r="C1459" t="str">
        <f t="shared" si="244"/>
        <v>2020/21</v>
      </c>
      <c r="D1459" t="str">
        <f>"SS FD 113780"</f>
        <v>SS FD 113780</v>
      </c>
      <c r="E1459" t="str">
        <f t="shared" si="245"/>
        <v>SS</v>
      </c>
      <c r="F1459" t="s">
        <v>25</v>
      </c>
      <c r="G1459" t="s">
        <v>22</v>
      </c>
      <c r="H1459">
        <v>1546.46</v>
      </c>
      <c r="I1459" t="str">
        <f>"The Next Step Trust"</f>
        <v>The Next Step Trust</v>
      </c>
      <c r="J1459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460" spans="1:10" x14ac:dyDescent="0.35">
      <c r="A1460" t="str">
        <f t="shared" si="246"/>
        <v>NOV</v>
      </c>
      <c r="B1460" t="str">
        <f t="shared" si="243"/>
        <v>20</v>
      </c>
      <c r="C1460" t="str">
        <f t="shared" si="244"/>
        <v>2020/21</v>
      </c>
      <c r="D1460" t="str">
        <f>"SS FD 113780"</f>
        <v>SS FD 113780</v>
      </c>
      <c r="E1460" t="str">
        <f t="shared" si="245"/>
        <v>SS</v>
      </c>
      <c r="F1460" t="s">
        <v>25</v>
      </c>
      <c r="G1460" t="s">
        <v>22</v>
      </c>
      <c r="H1460">
        <v>110438.72</v>
      </c>
      <c r="I1460" t="str">
        <f>"The Next Step Trust"</f>
        <v>The Next Step Trust</v>
      </c>
      <c r="J1460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461" spans="1:10" x14ac:dyDescent="0.35">
      <c r="A1461" t="str">
        <f t="shared" si="246"/>
        <v>NOV</v>
      </c>
      <c r="B1461" t="str">
        <f t="shared" si="243"/>
        <v>20</v>
      </c>
      <c r="C1461" t="str">
        <f t="shared" si="244"/>
        <v>2020/21</v>
      </c>
      <c r="D1461" t="str">
        <f>"SS FD 113789"</f>
        <v>SS FD 113789</v>
      </c>
      <c r="E1461" t="str">
        <f t="shared" si="245"/>
        <v>SS</v>
      </c>
      <c r="F1461" t="s">
        <v>25</v>
      </c>
      <c r="G1461" t="s">
        <v>22</v>
      </c>
      <c r="H1461">
        <v>38876.379999999997</v>
      </c>
      <c r="I1461" t="str">
        <f>"Pennine Magpie"</f>
        <v>Pennine Magpie</v>
      </c>
      <c r="J1461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462" spans="1:10" x14ac:dyDescent="0.35">
      <c r="A1462" t="str">
        <f t="shared" si="246"/>
        <v>NOV</v>
      </c>
      <c r="B1462" t="str">
        <f t="shared" si="243"/>
        <v>20</v>
      </c>
      <c r="C1462" t="str">
        <f t="shared" si="244"/>
        <v>2020/21</v>
      </c>
      <c r="D1462" t="str">
        <f t="shared" ref="D1462:D1472" si="248">"SS FD 114303"</f>
        <v>SS FD 114303</v>
      </c>
      <c r="E1462" t="str">
        <f t="shared" si="245"/>
        <v>SS</v>
      </c>
      <c r="F1462" t="s">
        <v>25</v>
      </c>
      <c r="G1462" t="s">
        <v>22</v>
      </c>
      <c r="H1462">
        <v>3304.73</v>
      </c>
      <c r="I1462" t="str">
        <f t="shared" ref="I1462:I1472" si="249">"The Mayfield Trust"</f>
        <v>The Mayfield Trust</v>
      </c>
      <c r="J1462" t="str">
        <f t="shared" ref="J1462:J1472" si="250"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1463" spans="1:10" x14ac:dyDescent="0.35">
      <c r="A1463" t="str">
        <f t="shared" si="246"/>
        <v>NOV</v>
      </c>
      <c r="B1463" t="str">
        <f t="shared" si="243"/>
        <v>20</v>
      </c>
      <c r="C1463" t="str">
        <f t="shared" si="244"/>
        <v>2020/21</v>
      </c>
      <c r="D1463" t="str">
        <f t="shared" si="248"/>
        <v>SS FD 114303</v>
      </c>
      <c r="E1463" t="str">
        <f t="shared" si="245"/>
        <v>SS</v>
      </c>
      <c r="F1463" t="s">
        <v>25</v>
      </c>
      <c r="G1463" t="s">
        <v>22</v>
      </c>
      <c r="H1463">
        <v>685.08</v>
      </c>
      <c r="I1463" t="str">
        <f t="shared" si="249"/>
        <v>The Mayfield Trust</v>
      </c>
      <c r="J1463" t="str">
        <f t="shared" si="250"/>
        <v>Outreach - Voluntary Associations Voluntary Associations Agency And Contracted Services Purchased Day Opportunities Learning Disabilities Adult</v>
      </c>
    </row>
    <row r="1464" spans="1:10" x14ac:dyDescent="0.35">
      <c r="A1464" t="str">
        <f t="shared" si="246"/>
        <v>NOV</v>
      </c>
      <c r="B1464" t="str">
        <f t="shared" si="243"/>
        <v>20</v>
      </c>
      <c r="C1464" t="str">
        <f t="shared" si="244"/>
        <v>2020/21</v>
      </c>
      <c r="D1464" t="str">
        <f t="shared" si="248"/>
        <v>SS FD 114303</v>
      </c>
      <c r="E1464" t="str">
        <f t="shared" si="245"/>
        <v>SS</v>
      </c>
      <c r="F1464" t="s">
        <v>25</v>
      </c>
      <c r="G1464" t="s">
        <v>22</v>
      </c>
      <c r="H1464">
        <v>6095.2</v>
      </c>
      <c r="I1464" t="str">
        <f t="shared" si="249"/>
        <v>The Mayfield Trust</v>
      </c>
      <c r="J1464" t="str">
        <f t="shared" si="250"/>
        <v>Outreach - Voluntary Associations Voluntary Associations Agency And Contracted Services Purchased Day Opportunities Learning Disabilities Adult</v>
      </c>
    </row>
    <row r="1465" spans="1:10" x14ac:dyDescent="0.35">
      <c r="A1465" t="str">
        <f t="shared" si="246"/>
        <v>NOV</v>
      </c>
      <c r="B1465" t="str">
        <f t="shared" si="243"/>
        <v>20</v>
      </c>
      <c r="C1465" t="str">
        <f t="shared" si="244"/>
        <v>2020/21</v>
      </c>
      <c r="D1465" t="str">
        <f t="shared" si="248"/>
        <v>SS FD 114303</v>
      </c>
      <c r="E1465" t="str">
        <f t="shared" si="245"/>
        <v>SS</v>
      </c>
      <c r="F1465" t="s">
        <v>25</v>
      </c>
      <c r="G1465" t="s">
        <v>22</v>
      </c>
      <c r="H1465">
        <v>2293.7199999999998</v>
      </c>
      <c r="I1465" t="str">
        <f t="shared" si="249"/>
        <v>The Mayfield Trust</v>
      </c>
      <c r="J1465" t="str">
        <f t="shared" si="250"/>
        <v>Outreach - Voluntary Associations Voluntary Associations Agency And Contracted Services Purchased Day Opportunities Learning Disabilities Adult</v>
      </c>
    </row>
    <row r="1466" spans="1:10" x14ac:dyDescent="0.35">
      <c r="A1466" t="str">
        <f t="shared" si="246"/>
        <v>NOV</v>
      </c>
      <c r="B1466" t="str">
        <f t="shared" si="243"/>
        <v>20</v>
      </c>
      <c r="C1466" t="str">
        <f t="shared" si="244"/>
        <v>2020/21</v>
      </c>
      <c r="D1466" t="str">
        <f t="shared" si="248"/>
        <v>SS FD 114303</v>
      </c>
      <c r="E1466" t="str">
        <f t="shared" si="245"/>
        <v>SS</v>
      </c>
      <c r="F1466" t="s">
        <v>25</v>
      </c>
      <c r="G1466" t="s">
        <v>22</v>
      </c>
      <c r="H1466">
        <v>3051.72</v>
      </c>
      <c r="I1466" t="str">
        <f t="shared" si="249"/>
        <v>The Mayfield Trust</v>
      </c>
      <c r="J1466" t="str">
        <f t="shared" si="250"/>
        <v>Outreach - Voluntary Associations Voluntary Associations Agency And Contracted Services Purchased Day Opportunities Learning Disabilities Adult</v>
      </c>
    </row>
    <row r="1467" spans="1:10" x14ac:dyDescent="0.35">
      <c r="A1467" t="str">
        <f t="shared" si="246"/>
        <v>NOV</v>
      </c>
      <c r="B1467" t="str">
        <f t="shared" si="243"/>
        <v>20</v>
      </c>
      <c r="C1467" t="str">
        <f t="shared" si="244"/>
        <v>2020/21</v>
      </c>
      <c r="D1467" t="str">
        <f t="shared" si="248"/>
        <v>SS FD 114303</v>
      </c>
      <c r="E1467" t="str">
        <f t="shared" si="245"/>
        <v>SS</v>
      </c>
      <c r="F1467" t="s">
        <v>25</v>
      </c>
      <c r="G1467" t="s">
        <v>22</v>
      </c>
      <c r="H1467">
        <v>3125.68</v>
      </c>
      <c r="I1467" t="str">
        <f t="shared" si="249"/>
        <v>The Mayfield Trust</v>
      </c>
      <c r="J1467" t="str">
        <f t="shared" si="250"/>
        <v>Outreach - Voluntary Associations Voluntary Associations Agency And Contracted Services Purchased Day Opportunities Learning Disabilities Adult</v>
      </c>
    </row>
    <row r="1468" spans="1:10" x14ac:dyDescent="0.35">
      <c r="A1468" t="str">
        <f t="shared" si="246"/>
        <v>NOV</v>
      </c>
      <c r="B1468" t="str">
        <f t="shared" si="243"/>
        <v>20</v>
      </c>
      <c r="C1468" t="str">
        <f t="shared" si="244"/>
        <v>2020/21</v>
      </c>
      <c r="D1468" t="str">
        <f t="shared" si="248"/>
        <v>SS FD 114303</v>
      </c>
      <c r="E1468" t="str">
        <f t="shared" si="245"/>
        <v>SS</v>
      </c>
      <c r="F1468" t="s">
        <v>25</v>
      </c>
      <c r="G1468" t="s">
        <v>22</v>
      </c>
      <c r="H1468">
        <v>3331.98</v>
      </c>
      <c r="I1468" t="str">
        <f t="shared" si="249"/>
        <v>The Mayfield Trust</v>
      </c>
      <c r="J1468" t="str">
        <f t="shared" si="250"/>
        <v>Outreach - Voluntary Associations Voluntary Associations Agency And Contracted Services Purchased Day Opportunities Learning Disabilities Adult</v>
      </c>
    </row>
    <row r="1469" spans="1:10" x14ac:dyDescent="0.35">
      <c r="A1469" t="str">
        <f t="shared" si="246"/>
        <v>NOV</v>
      </c>
      <c r="B1469" t="str">
        <f t="shared" si="243"/>
        <v>20</v>
      </c>
      <c r="C1469" t="str">
        <f t="shared" si="244"/>
        <v>2020/21</v>
      </c>
      <c r="D1469" t="str">
        <f t="shared" si="248"/>
        <v>SS FD 114303</v>
      </c>
      <c r="E1469" t="str">
        <f t="shared" si="245"/>
        <v>SS</v>
      </c>
      <c r="F1469" t="s">
        <v>25</v>
      </c>
      <c r="G1469" t="s">
        <v>22</v>
      </c>
      <c r="H1469">
        <v>3304.73</v>
      </c>
      <c r="I1469" t="str">
        <f t="shared" si="249"/>
        <v>The Mayfield Trust</v>
      </c>
      <c r="J1469" t="str">
        <f t="shared" si="250"/>
        <v>Outreach - Voluntary Associations Voluntary Associations Agency And Contracted Services Purchased Day Opportunities Learning Disabilities Adult</v>
      </c>
    </row>
    <row r="1470" spans="1:10" x14ac:dyDescent="0.35">
      <c r="A1470" t="str">
        <f t="shared" si="246"/>
        <v>NOV</v>
      </c>
      <c r="B1470" t="str">
        <f t="shared" si="243"/>
        <v>20</v>
      </c>
      <c r="C1470" t="str">
        <f t="shared" si="244"/>
        <v>2020/21</v>
      </c>
      <c r="D1470" t="str">
        <f t="shared" si="248"/>
        <v>SS FD 114303</v>
      </c>
      <c r="E1470" t="str">
        <f t="shared" si="245"/>
        <v>SS</v>
      </c>
      <c r="F1470" t="s">
        <v>25</v>
      </c>
      <c r="G1470" t="s">
        <v>22</v>
      </c>
      <c r="H1470">
        <v>3394.26</v>
      </c>
      <c r="I1470" t="str">
        <f t="shared" si="249"/>
        <v>The Mayfield Trust</v>
      </c>
      <c r="J1470" t="str">
        <f t="shared" si="250"/>
        <v>Outreach - Voluntary Associations Voluntary Associations Agency And Contracted Services Purchased Day Opportunities Learning Disabilities Adult</v>
      </c>
    </row>
    <row r="1471" spans="1:10" x14ac:dyDescent="0.35">
      <c r="A1471" t="str">
        <f t="shared" si="246"/>
        <v>NOV</v>
      </c>
      <c r="B1471" t="str">
        <f t="shared" si="243"/>
        <v>20</v>
      </c>
      <c r="C1471" t="str">
        <f t="shared" si="244"/>
        <v>2020/21</v>
      </c>
      <c r="D1471" t="str">
        <f t="shared" si="248"/>
        <v>SS FD 114303</v>
      </c>
      <c r="E1471" t="str">
        <f t="shared" si="245"/>
        <v>SS</v>
      </c>
      <c r="F1471" t="s">
        <v>25</v>
      </c>
      <c r="G1471" t="s">
        <v>22</v>
      </c>
      <c r="H1471">
        <v>3456.54</v>
      </c>
      <c r="I1471" t="str">
        <f t="shared" si="249"/>
        <v>The Mayfield Trust</v>
      </c>
      <c r="J1471" t="str">
        <f t="shared" si="250"/>
        <v>Outreach - Voluntary Associations Voluntary Associations Agency And Contracted Services Purchased Day Opportunities Learning Disabilities Adult</v>
      </c>
    </row>
    <row r="1472" spans="1:10" x14ac:dyDescent="0.35">
      <c r="A1472" t="str">
        <f t="shared" si="246"/>
        <v>NOV</v>
      </c>
      <c r="B1472" t="str">
        <f t="shared" si="243"/>
        <v>20</v>
      </c>
      <c r="C1472" t="str">
        <f t="shared" si="244"/>
        <v>2020/21</v>
      </c>
      <c r="D1472" t="str">
        <f t="shared" si="248"/>
        <v>SS FD 114303</v>
      </c>
      <c r="E1472" t="str">
        <f t="shared" si="245"/>
        <v>SS</v>
      </c>
      <c r="F1472" t="s">
        <v>25</v>
      </c>
      <c r="G1472" t="s">
        <v>22</v>
      </c>
      <c r="H1472">
        <v>12439.02</v>
      </c>
      <c r="I1472" t="str">
        <f t="shared" si="249"/>
        <v>The Mayfield Trust</v>
      </c>
      <c r="J1472" t="str">
        <f t="shared" si="250"/>
        <v>Outreach - Voluntary Associations Voluntary Associations Agency And Contracted Services Purchased Day Opportunities Learning Disabilities Adult</v>
      </c>
    </row>
    <row r="1473" spans="1:10" x14ac:dyDescent="0.35">
      <c r="A1473" t="str">
        <f t="shared" si="246"/>
        <v>NOV</v>
      </c>
      <c r="B1473" t="str">
        <f t="shared" si="243"/>
        <v>20</v>
      </c>
      <c r="C1473" t="str">
        <f t="shared" si="244"/>
        <v>2020/21</v>
      </c>
      <c r="D1473" t="str">
        <f>"HS TA 016934"</f>
        <v>HS TA 016934</v>
      </c>
      <c r="E1473" t="str">
        <f t="shared" si="245"/>
        <v>HS</v>
      </c>
      <c r="F1473" t="s">
        <v>26</v>
      </c>
      <c r="G1473" t="s">
        <v>18</v>
      </c>
      <c r="H1473">
        <v>40000</v>
      </c>
      <c r="I1473" t="str">
        <f>"Christians Together Calderdale"</f>
        <v>Christians Together Calderdale</v>
      </c>
      <c r="J1473" t="str">
        <f>"Tackling Homelessness and Destitution Miscellaneous Expenses Supplies And Services Housing Advice and Homelessness Housing Services"</f>
        <v>Tackling Homelessness and Destitution Miscellaneous Expenses Supplies And Services Housing Advice and Homelessness Housing Services</v>
      </c>
    </row>
    <row r="1474" spans="1:10" x14ac:dyDescent="0.35">
      <c r="A1474" t="str">
        <f t="shared" si="246"/>
        <v>NOV</v>
      </c>
      <c r="B1474" t="str">
        <f t="shared" ref="B1474:B1537" si="251">"20"</f>
        <v>20</v>
      </c>
      <c r="C1474" t="str">
        <f t="shared" ref="C1474:C1537" si="252">"2020/21"</f>
        <v>2020/21</v>
      </c>
      <c r="D1474" t="str">
        <f>"HS TA 016969"</f>
        <v>HS TA 016969</v>
      </c>
      <c r="E1474" t="str">
        <f t="shared" ref="E1474:E1537" si="253">LEFT(D1474,2)</f>
        <v>HS</v>
      </c>
      <c r="F1474" t="s">
        <v>26</v>
      </c>
      <c r="G1474" t="s">
        <v>18</v>
      </c>
      <c r="H1474">
        <v>60000</v>
      </c>
      <c r="I1474" t="str">
        <f>"Christians Together Calderdale"</f>
        <v>Christians Together Calderdale</v>
      </c>
      <c r="J1474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1475" spans="1:10" x14ac:dyDescent="0.35">
      <c r="A1475" t="str">
        <f t="shared" si="246"/>
        <v>NOV</v>
      </c>
      <c r="B1475" t="str">
        <f t="shared" si="251"/>
        <v>20</v>
      </c>
      <c r="C1475" t="str">
        <f t="shared" si="252"/>
        <v>2020/21</v>
      </c>
      <c r="D1475" t="str">
        <f>"HS TA 016872"</f>
        <v>HS TA 016872</v>
      </c>
      <c r="E1475" t="str">
        <f t="shared" si="253"/>
        <v>HS</v>
      </c>
      <c r="F1475" t="s">
        <v>26</v>
      </c>
      <c r="G1475" t="s">
        <v>18</v>
      </c>
      <c r="H1475">
        <v>220</v>
      </c>
      <c r="I1475" t="str">
        <f t="shared" ref="I1475:I1480" si="254">"Sure Start North Halifax"</f>
        <v>Sure Start North Halifax</v>
      </c>
      <c r="J1475" t="str">
        <f t="shared" ref="J1475:J1480" si="255"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1476" spans="1:10" x14ac:dyDescent="0.35">
      <c r="A1476" t="str">
        <f t="shared" si="246"/>
        <v>NOV</v>
      </c>
      <c r="B1476" t="str">
        <f t="shared" si="251"/>
        <v>20</v>
      </c>
      <c r="C1476" t="str">
        <f t="shared" si="252"/>
        <v>2020/21</v>
      </c>
      <c r="D1476" t="str">
        <f>"HS TA 016872"</f>
        <v>HS TA 016872</v>
      </c>
      <c r="E1476" t="str">
        <f t="shared" si="253"/>
        <v>HS</v>
      </c>
      <c r="F1476" t="s">
        <v>26</v>
      </c>
      <c r="G1476" t="s">
        <v>18</v>
      </c>
      <c r="H1476">
        <v>82.5</v>
      </c>
      <c r="I1476" t="str">
        <f t="shared" si="254"/>
        <v>Sure Start North Halifax</v>
      </c>
      <c r="J1476" t="str">
        <f t="shared" si="255"/>
        <v>Childcare expenses Equipment Furniture And Materials Supplies And Services Syrian settlement account Housing Services</v>
      </c>
    </row>
    <row r="1477" spans="1:10" x14ac:dyDescent="0.35">
      <c r="A1477" t="str">
        <f t="shared" si="246"/>
        <v>NOV</v>
      </c>
      <c r="B1477" t="str">
        <f t="shared" si="251"/>
        <v>20</v>
      </c>
      <c r="C1477" t="str">
        <f t="shared" si="252"/>
        <v>2020/21</v>
      </c>
      <c r="D1477" t="str">
        <f>"HS TA 016871"</f>
        <v>HS TA 016871</v>
      </c>
      <c r="E1477" t="str">
        <f t="shared" si="253"/>
        <v>HS</v>
      </c>
      <c r="F1477" t="s">
        <v>26</v>
      </c>
      <c r="G1477" t="s">
        <v>18</v>
      </c>
      <c r="H1477">
        <v>302.5</v>
      </c>
      <c r="I1477" t="str">
        <f t="shared" si="254"/>
        <v>Sure Start North Halifax</v>
      </c>
      <c r="J1477" t="str">
        <f t="shared" si="255"/>
        <v>Childcare expenses Equipment Furniture And Materials Supplies And Services Syrian settlement account Housing Services</v>
      </c>
    </row>
    <row r="1478" spans="1:10" x14ac:dyDescent="0.35">
      <c r="A1478" t="str">
        <f t="shared" si="246"/>
        <v>NOV</v>
      </c>
      <c r="B1478" t="str">
        <f t="shared" si="251"/>
        <v>20</v>
      </c>
      <c r="C1478" t="str">
        <f t="shared" si="252"/>
        <v>2020/21</v>
      </c>
      <c r="D1478" t="str">
        <f>"HS TA 016870"</f>
        <v>HS TA 016870</v>
      </c>
      <c r="E1478" t="str">
        <f t="shared" si="253"/>
        <v>HS</v>
      </c>
      <c r="F1478" t="s">
        <v>26</v>
      </c>
      <c r="G1478" t="s">
        <v>18</v>
      </c>
      <c r="H1478">
        <v>82.5</v>
      </c>
      <c r="I1478" t="str">
        <f t="shared" si="254"/>
        <v>Sure Start North Halifax</v>
      </c>
      <c r="J1478" t="str">
        <f t="shared" si="255"/>
        <v>Childcare expenses Equipment Furniture And Materials Supplies And Services Syrian settlement account Housing Services</v>
      </c>
    </row>
    <row r="1479" spans="1:10" x14ac:dyDescent="0.35">
      <c r="A1479" t="str">
        <f t="shared" si="246"/>
        <v>NOV</v>
      </c>
      <c r="B1479" t="str">
        <f t="shared" si="251"/>
        <v>20</v>
      </c>
      <c r="C1479" t="str">
        <f t="shared" si="252"/>
        <v>2020/21</v>
      </c>
      <c r="D1479" t="str">
        <f>"HS TA 016869"</f>
        <v>HS TA 016869</v>
      </c>
      <c r="E1479" t="str">
        <f t="shared" si="253"/>
        <v>HS</v>
      </c>
      <c r="F1479" t="s">
        <v>26</v>
      </c>
      <c r="G1479" t="s">
        <v>18</v>
      </c>
      <c r="H1479">
        <v>55</v>
      </c>
      <c r="I1479" t="str">
        <f t="shared" si="254"/>
        <v>Sure Start North Halifax</v>
      </c>
      <c r="J1479" t="str">
        <f t="shared" si="255"/>
        <v>Childcare expenses Equipment Furniture And Materials Supplies And Services Syrian settlement account Housing Services</v>
      </c>
    </row>
    <row r="1480" spans="1:10" x14ac:dyDescent="0.35">
      <c r="A1480" t="str">
        <f t="shared" si="246"/>
        <v>NOV</v>
      </c>
      <c r="B1480" t="str">
        <f t="shared" si="251"/>
        <v>20</v>
      </c>
      <c r="C1480" t="str">
        <f t="shared" si="252"/>
        <v>2020/21</v>
      </c>
      <c r="D1480" t="str">
        <f>"HS TA 016868"</f>
        <v>HS TA 016868</v>
      </c>
      <c r="E1480" t="str">
        <f t="shared" si="253"/>
        <v>HS</v>
      </c>
      <c r="F1480" t="s">
        <v>26</v>
      </c>
      <c r="G1480" t="s">
        <v>18</v>
      </c>
      <c r="H1480">
        <v>302.5</v>
      </c>
      <c r="I1480" t="str">
        <f t="shared" si="254"/>
        <v>Sure Start North Halifax</v>
      </c>
      <c r="J1480" t="str">
        <f t="shared" si="255"/>
        <v>Childcare expenses Equipment Furniture And Materials Supplies And Services Syrian settlement account Housing Services</v>
      </c>
    </row>
    <row r="1481" spans="1:10" x14ac:dyDescent="0.35">
      <c r="A1481" t="str">
        <f t="shared" si="246"/>
        <v>NOV</v>
      </c>
      <c r="B1481" t="str">
        <f t="shared" si="251"/>
        <v>20</v>
      </c>
      <c r="C1481" t="str">
        <f t="shared" si="252"/>
        <v>2020/21</v>
      </c>
      <c r="D1481" t="str">
        <f>"CA FM 006794"</f>
        <v>CA FM 006794</v>
      </c>
      <c r="E1481" t="str">
        <f t="shared" si="253"/>
        <v>CA</v>
      </c>
      <c r="F1481" t="s">
        <v>27</v>
      </c>
      <c r="G1481" t="s">
        <v>18</v>
      </c>
      <c r="H1481">
        <v>3750</v>
      </c>
      <c r="I1481" t="str">
        <f>"Calderdale Industrial Museum Association"</f>
        <v>Calderdale Industrial Museum Association</v>
      </c>
      <c r="J1481" t="str">
        <f>"Community asset transfer - grant to Calderdale Industrial Museum Assoc Transfer Payments - School Children And Students Transfer Payments Miscel"</f>
        <v>Community asset transfer - grant to Calderdale Industrial Museum Assoc Transfer Payments - School Children And Students Transfer Payments Miscel</v>
      </c>
    </row>
    <row r="1482" spans="1:10" x14ac:dyDescent="0.35">
      <c r="A1482" t="str">
        <f t="shared" si="246"/>
        <v>NOV</v>
      </c>
      <c r="B1482" t="str">
        <f t="shared" si="251"/>
        <v>20</v>
      </c>
      <c r="C1482" t="str">
        <f t="shared" si="252"/>
        <v>2020/21</v>
      </c>
      <c r="D1482" t="str">
        <f>"EG CE 063978"</f>
        <v>EG CE 063978</v>
      </c>
      <c r="E1482" t="str">
        <f t="shared" si="253"/>
        <v>EG</v>
      </c>
      <c r="F1482" t="s">
        <v>28</v>
      </c>
      <c r="G1482" t="s">
        <v>18</v>
      </c>
      <c r="H1482">
        <v>300</v>
      </c>
      <c r="I1482" t="str">
        <f>"Crows"</f>
        <v>Crows</v>
      </c>
      <c r="J1482" t="str">
        <f>"Flooding Event Storm Ciara 9 February 20 - Contractor Costs Emergency Response Miscellaneous Contractors Private Contractors Agency And Contract"</f>
        <v>Flooding Event Storm Ciara 9 February 20 - Contractor Costs Emergency Response Miscellaneous Contractors Private Contractors Agency And Contract</v>
      </c>
    </row>
    <row r="1483" spans="1:10" x14ac:dyDescent="0.35">
      <c r="A1483" t="str">
        <f t="shared" si="246"/>
        <v>NOV</v>
      </c>
      <c r="B1483" t="str">
        <f t="shared" si="251"/>
        <v>20</v>
      </c>
      <c r="C1483" t="str">
        <f t="shared" si="252"/>
        <v>2020/21</v>
      </c>
      <c r="D1483" t="str">
        <f>"SC HE 217735"</f>
        <v>SC HE 217735</v>
      </c>
      <c r="E1483" t="str">
        <f t="shared" si="253"/>
        <v>SC</v>
      </c>
      <c r="F1483" t="s">
        <v>29</v>
      </c>
      <c r="G1483" t="s">
        <v>30</v>
      </c>
      <c r="H1483">
        <v>200</v>
      </c>
      <c r="I1483" t="str">
        <f>"The Artworks CIC"</f>
        <v>The Artworks CIC</v>
      </c>
      <c r="J1483" t="str">
        <f>"NQT costs Catering Clothing And Uniforms Supplies And Services School Improvement Service Children and Young People's Serv - Central Depts."</f>
        <v>NQT costs Catering Clothing And Uniforms Supplies And Services School Improvement Service Children and Young People's Serv - Central Depts.</v>
      </c>
    </row>
    <row r="1484" spans="1:10" x14ac:dyDescent="0.35">
      <c r="A1484" t="str">
        <f t="shared" si="246"/>
        <v>NOV</v>
      </c>
      <c r="B1484" t="str">
        <f t="shared" si="251"/>
        <v>20</v>
      </c>
      <c r="C1484" t="str">
        <f t="shared" si="252"/>
        <v>2020/21</v>
      </c>
      <c r="D1484" t="str">
        <f>"SC SU 217679"</f>
        <v>SC SU 217679</v>
      </c>
      <c r="E1484" t="str">
        <f t="shared" si="253"/>
        <v>SC</v>
      </c>
      <c r="F1484" t="s">
        <v>29</v>
      </c>
      <c r="G1484" t="s">
        <v>30</v>
      </c>
      <c r="H1484">
        <v>40</v>
      </c>
      <c r="I1484" t="str">
        <f>"Seashell Trust"</f>
        <v>Seashell Trust</v>
      </c>
      <c r="J1484" t="str">
        <f>"Sensory Team resources Equipment Furniture And Materials Supplies And Services Specialist Inclusion Service (DSG) Children and Young People's Se"</f>
        <v>Sensory Team resources Equipment Furniture And Materials Supplies And Services Specialist Inclusion Service (DSG) Children and Young People's Se</v>
      </c>
    </row>
    <row r="1485" spans="1:10" x14ac:dyDescent="0.35">
      <c r="A1485" t="str">
        <f t="shared" si="246"/>
        <v>NOV</v>
      </c>
      <c r="B1485" t="str">
        <f t="shared" si="251"/>
        <v>20</v>
      </c>
      <c r="C1485" t="str">
        <f t="shared" si="252"/>
        <v>2020/21</v>
      </c>
      <c r="D1485" t="str">
        <f>"SC SU 217679"</f>
        <v>SC SU 217679</v>
      </c>
      <c r="E1485" t="str">
        <f t="shared" si="253"/>
        <v>SC</v>
      </c>
      <c r="F1485" t="s">
        <v>29</v>
      </c>
      <c r="G1485" t="s">
        <v>30</v>
      </c>
      <c r="H1485">
        <v>375</v>
      </c>
      <c r="I1485" t="str">
        <f>"Seashell Trust"</f>
        <v>Seashell Trust</v>
      </c>
      <c r="J1485" t="str">
        <f>"Sensory Team resources Equipment Furniture And Materials Supplies And Services Specialist Inclusion Service (DSG) Children and Young People's Se"</f>
        <v>Sensory Team resources Equipment Furniture And Materials Supplies And Services Specialist Inclusion Service (DSG) Children and Young People's Se</v>
      </c>
    </row>
    <row r="1486" spans="1:10" x14ac:dyDescent="0.35">
      <c r="A1486" t="str">
        <f t="shared" si="246"/>
        <v>NOV</v>
      </c>
      <c r="B1486" t="str">
        <f t="shared" si="251"/>
        <v>20</v>
      </c>
      <c r="C1486" t="str">
        <f t="shared" si="252"/>
        <v>2020/21</v>
      </c>
      <c r="D1486" t="str">
        <f>"SC SS 217658"</f>
        <v>SC SS 217658</v>
      </c>
      <c r="E1486" t="str">
        <f t="shared" si="253"/>
        <v>SC</v>
      </c>
      <c r="F1486" t="s">
        <v>29</v>
      </c>
      <c r="G1486" t="s">
        <v>30</v>
      </c>
      <c r="H1486">
        <v>5723.97</v>
      </c>
      <c r="I1486" t="str">
        <f>"Seashell Trust"</f>
        <v>Seashell Trust</v>
      </c>
      <c r="J1486" t="str">
        <f>"Top Up - Post 16 Contributions To Funds And Provisions Supplies And Services EHC Support Children and Young People's Serv - Central Depts."</f>
        <v>Top Up - Post 16 Contributions To Funds And Provisions Supplies And Services EHC Support Children and Young People's Serv - Central Depts.</v>
      </c>
    </row>
    <row r="1487" spans="1:10" x14ac:dyDescent="0.35">
      <c r="A1487" t="str">
        <f t="shared" si="246"/>
        <v>NOV</v>
      </c>
      <c r="B1487" t="str">
        <f t="shared" si="251"/>
        <v>20</v>
      </c>
      <c r="C1487" t="str">
        <f t="shared" si="252"/>
        <v>2020/21</v>
      </c>
      <c r="D1487" t="str">
        <f>"SC EY 217575"</f>
        <v>SC EY 217575</v>
      </c>
      <c r="E1487" t="str">
        <f t="shared" si="253"/>
        <v>SC</v>
      </c>
      <c r="F1487" t="s">
        <v>32</v>
      </c>
      <c r="G1487" t="s">
        <v>30</v>
      </c>
      <c r="H1487">
        <v>433.5</v>
      </c>
      <c r="I1487" t="str">
        <f>"Creations Community Childrens Centre"</f>
        <v>Creations Community Childrens Centre</v>
      </c>
      <c r="J1487" t="str">
        <f t="shared" ref="J1487:J1494" si="256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1488" spans="1:10" x14ac:dyDescent="0.35">
      <c r="A1488" t="str">
        <f t="shared" si="246"/>
        <v>NOV</v>
      </c>
      <c r="B1488" t="str">
        <f t="shared" si="251"/>
        <v>20</v>
      </c>
      <c r="C1488" t="str">
        <f t="shared" si="252"/>
        <v>2020/21</v>
      </c>
      <c r="D1488" t="str">
        <f>"SC EY 217618"</f>
        <v>SC EY 217618</v>
      </c>
      <c r="E1488" t="str">
        <f t="shared" si="253"/>
        <v>SC</v>
      </c>
      <c r="F1488" t="s">
        <v>32</v>
      </c>
      <c r="G1488" t="s">
        <v>30</v>
      </c>
      <c r="H1488">
        <v>1690</v>
      </c>
      <c r="I1488" t="str">
        <f>"Innovations Children's Centre"</f>
        <v>Innovations Children's Centre</v>
      </c>
      <c r="J1488" t="str">
        <f t="shared" si="256"/>
        <v>Access to Support provision Other Agency And Contracted Services Agency And Contracted Services Early Intervention Childcare Funding Childrens S</v>
      </c>
    </row>
    <row r="1489" spans="1:10" x14ac:dyDescent="0.35">
      <c r="A1489" t="str">
        <f t="shared" si="246"/>
        <v>NOV</v>
      </c>
      <c r="B1489" t="str">
        <f t="shared" si="251"/>
        <v>20</v>
      </c>
      <c r="C1489" t="str">
        <f t="shared" si="252"/>
        <v>2020/21</v>
      </c>
      <c r="D1489" t="str">
        <f>"SC EY 217617"</f>
        <v>SC EY 217617</v>
      </c>
      <c r="E1489" t="str">
        <f t="shared" si="253"/>
        <v>SC</v>
      </c>
      <c r="F1489" t="s">
        <v>32</v>
      </c>
      <c r="G1489" t="s">
        <v>30</v>
      </c>
      <c r="H1489">
        <v>2525</v>
      </c>
      <c r="I1489" t="str">
        <f>"Jubilee Children's Centre"</f>
        <v>Jubilee Children's Centre</v>
      </c>
      <c r="J1489" t="str">
        <f t="shared" si="256"/>
        <v>Access to Support provision Other Agency And Contracted Services Agency And Contracted Services Early Intervention Childcare Funding Childrens S</v>
      </c>
    </row>
    <row r="1490" spans="1:10" x14ac:dyDescent="0.35">
      <c r="A1490" t="str">
        <f t="shared" si="246"/>
        <v>NOV</v>
      </c>
      <c r="B1490" t="str">
        <f t="shared" si="251"/>
        <v>20</v>
      </c>
      <c r="C1490" t="str">
        <f t="shared" si="252"/>
        <v>2020/21</v>
      </c>
      <c r="D1490" t="str">
        <f>"SC EY 217611"</f>
        <v>SC EY 217611</v>
      </c>
      <c r="E1490" t="str">
        <f t="shared" si="253"/>
        <v>SC</v>
      </c>
      <c r="F1490" t="s">
        <v>32</v>
      </c>
      <c r="G1490" t="s">
        <v>30</v>
      </c>
      <c r="H1490">
        <v>278</v>
      </c>
      <c r="I1490" t="str">
        <f>"Ash Green Childrens Centre"</f>
        <v>Ash Green Childrens Centre</v>
      </c>
      <c r="J1490" t="str">
        <f t="shared" si="256"/>
        <v>Access to Support provision Other Agency And Contracted Services Agency And Contracted Services Early Intervention Childcare Funding Childrens S</v>
      </c>
    </row>
    <row r="1491" spans="1:10" x14ac:dyDescent="0.35">
      <c r="A1491" t="str">
        <f t="shared" si="246"/>
        <v>NOV</v>
      </c>
      <c r="B1491" t="str">
        <f t="shared" si="251"/>
        <v>20</v>
      </c>
      <c r="C1491" t="str">
        <f t="shared" si="252"/>
        <v>2020/21</v>
      </c>
      <c r="D1491" t="str">
        <f>"SC EY 217616"</f>
        <v>SC EY 217616</v>
      </c>
      <c r="E1491" t="str">
        <f t="shared" si="253"/>
        <v>SC</v>
      </c>
      <c r="F1491" t="s">
        <v>32</v>
      </c>
      <c r="G1491" t="s">
        <v>30</v>
      </c>
      <c r="H1491">
        <v>1656</v>
      </c>
      <c r="I1491" t="str">
        <f>"Kevin Pearce Childrens Centre"</f>
        <v>Kevin Pearce Childrens Centre</v>
      </c>
      <c r="J1491" t="str">
        <f t="shared" si="256"/>
        <v>Access to Support provision Other Agency And Contracted Services Agency And Contracted Services Early Intervention Childcare Funding Childrens S</v>
      </c>
    </row>
    <row r="1492" spans="1:10" x14ac:dyDescent="0.35">
      <c r="A1492" t="str">
        <f t="shared" ref="A1492:A1555" si="257">"NOV"</f>
        <v>NOV</v>
      </c>
      <c r="B1492" t="str">
        <f t="shared" si="251"/>
        <v>20</v>
      </c>
      <c r="C1492" t="str">
        <f t="shared" si="252"/>
        <v>2020/21</v>
      </c>
      <c r="D1492" t="str">
        <f>"SC EY 217577"</f>
        <v>SC EY 217577</v>
      </c>
      <c r="E1492" t="str">
        <f t="shared" si="253"/>
        <v>SC</v>
      </c>
      <c r="F1492" t="s">
        <v>32</v>
      </c>
      <c r="G1492" t="s">
        <v>30</v>
      </c>
      <c r="H1492">
        <v>673</v>
      </c>
      <c r="I1492" t="str">
        <f>"Siddal Children's Centre"</f>
        <v>Siddal Children's Centre</v>
      </c>
      <c r="J1492" t="str">
        <f t="shared" si="256"/>
        <v>Access to Support provision Other Agency And Contracted Services Agency And Contracted Services Early Intervention Childcare Funding Childrens S</v>
      </c>
    </row>
    <row r="1493" spans="1:10" x14ac:dyDescent="0.35">
      <c r="A1493" t="str">
        <f t="shared" si="257"/>
        <v>NOV</v>
      </c>
      <c r="B1493" t="str">
        <f t="shared" si="251"/>
        <v>20</v>
      </c>
      <c r="C1493" t="str">
        <f t="shared" si="252"/>
        <v>2020/21</v>
      </c>
      <c r="D1493" t="str">
        <f>"SC EY 217580"</f>
        <v>SC EY 217580</v>
      </c>
      <c r="E1493" t="str">
        <f t="shared" si="253"/>
        <v>SC</v>
      </c>
      <c r="F1493" t="s">
        <v>32</v>
      </c>
      <c r="G1493" t="s">
        <v>30</v>
      </c>
      <c r="H1493">
        <v>616</v>
      </c>
      <c r="I1493" t="str">
        <f>"Todmorden Children's Centre"</f>
        <v>Todmorden Children's Centre</v>
      </c>
      <c r="J1493" t="str">
        <f t="shared" si="256"/>
        <v>Access to Support provision Other Agency And Contracted Services Agency And Contracted Services Early Intervention Childcare Funding Childrens S</v>
      </c>
    </row>
    <row r="1494" spans="1:10" x14ac:dyDescent="0.35">
      <c r="A1494" t="str">
        <f t="shared" si="257"/>
        <v>NOV</v>
      </c>
      <c r="B1494" t="str">
        <f t="shared" si="251"/>
        <v>20</v>
      </c>
      <c r="C1494" t="str">
        <f t="shared" si="252"/>
        <v>2020/21</v>
      </c>
      <c r="D1494" t="str">
        <f>"SC EY 217614"</f>
        <v>SC EY 217614</v>
      </c>
      <c r="E1494" t="str">
        <f t="shared" si="253"/>
        <v>SC</v>
      </c>
      <c r="F1494" t="s">
        <v>32</v>
      </c>
      <c r="G1494" t="s">
        <v>30</v>
      </c>
      <c r="H1494">
        <v>247.5</v>
      </c>
      <c r="I1494" t="str">
        <f>"Wellholme Children's Centre"</f>
        <v>Wellholme Children's Centre</v>
      </c>
      <c r="J1494" t="str">
        <f t="shared" si="256"/>
        <v>Access to Support provision Other Agency And Contracted Services Agency And Contracted Services Early Intervention Childcare Funding Childrens S</v>
      </c>
    </row>
    <row r="1495" spans="1:10" x14ac:dyDescent="0.35">
      <c r="A1495" t="str">
        <f t="shared" si="257"/>
        <v>NOV</v>
      </c>
      <c r="B1495" t="str">
        <f t="shared" si="251"/>
        <v>20</v>
      </c>
      <c r="C1495" t="str">
        <f t="shared" si="252"/>
        <v>2020/21</v>
      </c>
      <c r="D1495" t="str">
        <f>"SC EY 217647"</f>
        <v>SC EY 217647</v>
      </c>
      <c r="E1495" t="str">
        <f t="shared" si="253"/>
        <v>SC</v>
      </c>
      <c r="F1495" t="s">
        <v>32</v>
      </c>
      <c r="G1495" t="s">
        <v>30</v>
      </c>
      <c r="H1495">
        <v>517.5</v>
      </c>
      <c r="I1495" t="str">
        <f>"Kevin Pearce Childrens Centre"</f>
        <v>Kevin Pearce Childrens Centre</v>
      </c>
      <c r="J1495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496" spans="1:10" x14ac:dyDescent="0.35">
      <c r="A1496" t="str">
        <f t="shared" si="257"/>
        <v>NOV</v>
      </c>
      <c r="B1496" t="str">
        <f t="shared" si="251"/>
        <v>20</v>
      </c>
      <c r="C1496" t="str">
        <f t="shared" si="252"/>
        <v>2020/21</v>
      </c>
      <c r="D1496" t="str">
        <f>"SC EY 217647"</f>
        <v>SC EY 217647</v>
      </c>
      <c r="E1496" t="str">
        <f t="shared" si="253"/>
        <v>SC</v>
      </c>
      <c r="F1496" t="s">
        <v>32</v>
      </c>
      <c r="G1496" t="s">
        <v>30</v>
      </c>
      <c r="H1496">
        <v>337.5</v>
      </c>
      <c r="I1496" t="str">
        <f>"Kevin Pearce Childrens Centre"</f>
        <v>Kevin Pearce Childrens Centre</v>
      </c>
      <c r="J1496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497" spans="1:10" x14ac:dyDescent="0.35">
      <c r="A1497" t="str">
        <f t="shared" si="257"/>
        <v>NOV</v>
      </c>
      <c r="B1497" t="str">
        <f t="shared" si="251"/>
        <v>20</v>
      </c>
      <c r="C1497" t="str">
        <f t="shared" si="252"/>
        <v>2020/21</v>
      </c>
      <c r="D1497" t="str">
        <f>"SC EY 217625"</f>
        <v>SC EY 217625</v>
      </c>
      <c r="E1497" t="str">
        <f t="shared" si="253"/>
        <v>SC</v>
      </c>
      <c r="F1497" t="s">
        <v>32</v>
      </c>
      <c r="G1497" t="s">
        <v>30</v>
      </c>
      <c r="H1497">
        <v>405</v>
      </c>
      <c r="I1497" t="str">
        <f>"Wellholme Children's Centre"</f>
        <v>Wellholme Children's Centre</v>
      </c>
      <c r="J1497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498" spans="1:10" x14ac:dyDescent="0.35">
      <c r="A1498" t="str">
        <f t="shared" si="257"/>
        <v>NOV</v>
      </c>
      <c r="B1498" t="str">
        <f t="shared" si="251"/>
        <v>20</v>
      </c>
      <c r="C1498" t="str">
        <f t="shared" si="252"/>
        <v>2020/21</v>
      </c>
      <c r="D1498" t="str">
        <f>"SC PF 215479"</f>
        <v>SC PF 215479</v>
      </c>
      <c r="E1498" t="str">
        <f t="shared" si="253"/>
        <v>SC</v>
      </c>
      <c r="F1498" t="s">
        <v>33</v>
      </c>
      <c r="G1498" t="s">
        <v>30</v>
      </c>
      <c r="H1498">
        <v>3385.2</v>
      </c>
      <c r="I1498" t="str">
        <f>"Barnardos (Fostering &amp; Adoption)"</f>
        <v>Barnardos (Fostering &amp; Adoption)</v>
      </c>
      <c r="J1498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499" spans="1:10" x14ac:dyDescent="0.35">
      <c r="A1499" t="str">
        <f t="shared" si="257"/>
        <v>NOV</v>
      </c>
      <c r="B1499" t="str">
        <f t="shared" si="251"/>
        <v>20</v>
      </c>
      <c r="C1499" t="str">
        <f t="shared" si="252"/>
        <v>2020/21</v>
      </c>
      <c r="D1499" t="str">
        <f>"SC PF 215478"</f>
        <v>SC PF 215478</v>
      </c>
      <c r="E1499" t="str">
        <f t="shared" si="253"/>
        <v>SC</v>
      </c>
      <c r="F1499" t="s">
        <v>33</v>
      </c>
      <c r="G1499" t="s">
        <v>30</v>
      </c>
      <c r="H1499">
        <v>3385.2</v>
      </c>
      <c r="I1499" t="str">
        <f>"Barnardos (Fostering &amp; Adoption)"</f>
        <v>Barnardos (Fostering &amp; Adoption)</v>
      </c>
      <c r="J1499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500" spans="1:10" x14ac:dyDescent="0.35">
      <c r="A1500" t="str">
        <f t="shared" si="257"/>
        <v>NOV</v>
      </c>
      <c r="B1500" t="str">
        <f t="shared" si="251"/>
        <v>20</v>
      </c>
      <c r="C1500" t="str">
        <f t="shared" si="252"/>
        <v>2020/21</v>
      </c>
      <c r="D1500" t="str">
        <f>"SC PF 215529"</f>
        <v>SC PF 215529</v>
      </c>
      <c r="E1500" t="str">
        <f t="shared" si="253"/>
        <v>SC</v>
      </c>
      <c r="F1500" t="s">
        <v>33</v>
      </c>
      <c r="G1500" t="s">
        <v>30</v>
      </c>
      <c r="H1500">
        <v>3244.46</v>
      </c>
      <c r="I1500" t="str">
        <f>"The Childrens Family Trust"</f>
        <v>The Childrens Family Trust</v>
      </c>
      <c r="J1500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501" spans="1:10" x14ac:dyDescent="0.35">
      <c r="A1501" t="str">
        <f t="shared" si="257"/>
        <v>NOV</v>
      </c>
      <c r="B1501" t="str">
        <f t="shared" si="251"/>
        <v>20</v>
      </c>
      <c r="C1501" t="str">
        <f t="shared" si="252"/>
        <v>2020/21</v>
      </c>
      <c r="D1501" t="str">
        <f>"LA CA 024173"</f>
        <v>LA CA 024173</v>
      </c>
      <c r="E1501" t="str">
        <f t="shared" si="253"/>
        <v>LA</v>
      </c>
      <c r="F1501" t="s">
        <v>40</v>
      </c>
      <c r="G1501" t="s">
        <v>24</v>
      </c>
      <c r="H1501">
        <v>175</v>
      </c>
      <c r="I1501" t="str">
        <f>"Halifax Minster"</f>
        <v>Halifax Minster</v>
      </c>
      <c r="J1501" t="str">
        <f>"Flowers Equipment Furniture And Materials (Cont) Supplies And Services Mayoralty Law &amp; Administration Service"</f>
        <v>Flowers Equipment Furniture And Materials (Cont) Supplies And Services Mayoralty Law &amp; Administration Service</v>
      </c>
    </row>
    <row r="1502" spans="1:10" x14ac:dyDescent="0.35">
      <c r="A1502" t="str">
        <f t="shared" si="257"/>
        <v>NOV</v>
      </c>
      <c r="B1502" t="str">
        <f t="shared" si="251"/>
        <v>20</v>
      </c>
      <c r="C1502" t="str">
        <f t="shared" si="252"/>
        <v>2020/21</v>
      </c>
      <c r="D1502" t="str">
        <f>"SS PJ 116115"</f>
        <v>SS PJ 116115</v>
      </c>
      <c r="E1502" t="str">
        <f t="shared" si="253"/>
        <v>SS</v>
      </c>
      <c r="F1502" t="s">
        <v>25</v>
      </c>
      <c r="G1502" t="s">
        <v>22</v>
      </c>
      <c r="H1502">
        <v>418</v>
      </c>
      <c r="I1502" t="str">
        <f>"Project Colt"</f>
        <v>Project Colt</v>
      </c>
      <c r="J1502" t="str">
        <f>"Bearders Trust Payments Miscellaneous Expenses Supplies And Services Operational Management (Prevention And Early Help) Adult Health &amp; Social Ca"</f>
        <v>Bearders Trust Payments Miscellaneous Expenses Supplies And Services Operational Management (Prevention And Early Help) Adult Health &amp; Social Ca</v>
      </c>
    </row>
    <row r="1503" spans="1:10" x14ac:dyDescent="0.35">
      <c r="A1503" t="str">
        <f t="shared" si="257"/>
        <v>NOV</v>
      </c>
      <c r="B1503" t="str">
        <f t="shared" si="251"/>
        <v>20</v>
      </c>
      <c r="C1503" t="str">
        <f t="shared" si="252"/>
        <v>2020/21</v>
      </c>
      <c r="D1503" t="str">
        <f>"SS PJ 116438"</f>
        <v>SS PJ 116438</v>
      </c>
      <c r="E1503" t="str">
        <f t="shared" si="253"/>
        <v>SS</v>
      </c>
      <c r="F1503" t="s">
        <v>25</v>
      </c>
      <c r="G1503" t="s">
        <v>22</v>
      </c>
      <c r="H1503">
        <v>500</v>
      </c>
      <c r="I1503" t="str">
        <f>"Project Colt"</f>
        <v>Project Colt</v>
      </c>
      <c r="J1503" t="str">
        <f>"Bearders Trust Payments Miscellaneous Expenses Supplies And Services Operational Management (Prevention And Early Help) Adult Health &amp; Social Ca"</f>
        <v>Bearders Trust Payments Miscellaneous Expenses Supplies And Services Operational Management (Prevention And Early Help) Adult Health &amp; Social Ca</v>
      </c>
    </row>
    <row r="1504" spans="1:10" x14ac:dyDescent="0.35">
      <c r="A1504" t="str">
        <f t="shared" si="257"/>
        <v>NOV</v>
      </c>
      <c r="B1504" t="str">
        <f t="shared" si="251"/>
        <v>20</v>
      </c>
      <c r="C1504" t="str">
        <f t="shared" si="252"/>
        <v>2020/21</v>
      </c>
      <c r="D1504" t="str">
        <f t="shared" ref="D1504:D1512" si="258">"SS SL 114876"</f>
        <v>SS SL 114876</v>
      </c>
      <c r="E1504" t="str">
        <f t="shared" si="253"/>
        <v>SS</v>
      </c>
      <c r="F1504" t="s">
        <v>25</v>
      </c>
      <c r="G1504" t="s">
        <v>22</v>
      </c>
      <c r="H1504">
        <v>1120.5</v>
      </c>
      <c r="I1504" t="str">
        <f t="shared" ref="I1504:I1525" si="259">"Mencap Northern Division"</f>
        <v>Mencap Northern Division</v>
      </c>
      <c r="J1504" t="str">
        <f t="shared" ref="J1504:J1512" si="260"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1505" spans="1:10" x14ac:dyDescent="0.35">
      <c r="A1505" t="str">
        <f t="shared" si="257"/>
        <v>NOV</v>
      </c>
      <c r="B1505" t="str">
        <f t="shared" si="251"/>
        <v>20</v>
      </c>
      <c r="C1505" t="str">
        <f t="shared" si="252"/>
        <v>2020/21</v>
      </c>
      <c r="D1505" t="str">
        <f t="shared" si="258"/>
        <v>SS SL 114876</v>
      </c>
      <c r="E1505" t="str">
        <f t="shared" si="253"/>
        <v>SS</v>
      </c>
      <c r="F1505" t="s">
        <v>25</v>
      </c>
      <c r="G1505" t="s">
        <v>22</v>
      </c>
      <c r="H1505">
        <v>2241</v>
      </c>
      <c r="I1505" t="str">
        <f t="shared" si="259"/>
        <v>Mencap Northern Division</v>
      </c>
      <c r="J1505" t="str">
        <f t="shared" si="260"/>
        <v>Princess Street (Mencap) Voluntary Associations Agency And Contracted Services Supported Living Adult Health &amp; Social Care</v>
      </c>
    </row>
    <row r="1506" spans="1:10" x14ac:dyDescent="0.35">
      <c r="A1506" t="str">
        <f t="shared" si="257"/>
        <v>NOV</v>
      </c>
      <c r="B1506" t="str">
        <f t="shared" si="251"/>
        <v>20</v>
      </c>
      <c r="C1506" t="str">
        <f t="shared" si="252"/>
        <v>2020/21</v>
      </c>
      <c r="D1506" t="str">
        <f t="shared" si="258"/>
        <v>SS SL 114876</v>
      </c>
      <c r="E1506" t="str">
        <f t="shared" si="253"/>
        <v>SS</v>
      </c>
      <c r="F1506" t="s">
        <v>25</v>
      </c>
      <c r="G1506" t="s">
        <v>22</v>
      </c>
      <c r="H1506">
        <v>1958.4</v>
      </c>
      <c r="I1506" t="str">
        <f t="shared" si="259"/>
        <v>Mencap Northern Division</v>
      </c>
      <c r="J1506" t="str">
        <f t="shared" si="260"/>
        <v>Princess Street (Mencap) Voluntary Associations Agency And Contracted Services Supported Living Adult Health &amp; Social Care</v>
      </c>
    </row>
    <row r="1507" spans="1:10" x14ac:dyDescent="0.35">
      <c r="A1507" t="str">
        <f t="shared" si="257"/>
        <v>NOV</v>
      </c>
      <c r="B1507" t="str">
        <f t="shared" si="251"/>
        <v>20</v>
      </c>
      <c r="C1507" t="str">
        <f t="shared" si="252"/>
        <v>2020/21</v>
      </c>
      <c r="D1507" t="str">
        <f t="shared" si="258"/>
        <v>SS SL 114876</v>
      </c>
      <c r="E1507" t="str">
        <f t="shared" si="253"/>
        <v>SS</v>
      </c>
      <c r="F1507" t="s">
        <v>25</v>
      </c>
      <c r="G1507" t="s">
        <v>22</v>
      </c>
      <c r="H1507">
        <v>2241</v>
      </c>
      <c r="I1507" t="str">
        <f t="shared" si="259"/>
        <v>Mencap Northern Division</v>
      </c>
      <c r="J1507" t="str">
        <f t="shared" si="260"/>
        <v>Princess Street (Mencap) Voluntary Associations Agency And Contracted Services Supported Living Adult Health &amp; Social Care</v>
      </c>
    </row>
    <row r="1508" spans="1:10" x14ac:dyDescent="0.35">
      <c r="A1508" t="str">
        <f t="shared" si="257"/>
        <v>NOV</v>
      </c>
      <c r="B1508" t="str">
        <f t="shared" si="251"/>
        <v>20</v>
      </c>
      <c r="C1508" t="str">
        <f t="shared" si="252"/>
        <v>2020/21</v>
      </c>
      <c r="D1508" t="str">
        <f t="shared" si="258"/>
        <v>SS SL 114876</v>
      </c>
      <c r="E1508" t="str">
        <f t="shared" si="253"/>
        <v>SS</v>
      </c>
      <c r="F1508" t="s">
        <v>25</v>
      </c>
      <c r="G1508" t="s">
        <v>22</v>
      </c>
      <c r="H1508">
        <v>2241</v>
      </c>
      <c r="I1508" t="str">
        <f t="shared" si="259"/>
        <v>Mencap Northern Division</v>
      </c>
      <c r="J1508" t="str">
        <f t="shared" si="260"/>
        <v>Princess Street (Mencap) Voluntary Associations Agency And Contracted Services Supported Living Adult Health &amp; Social Care</v>
      </c>
    </row>
    <row r="1509" spans="1:10" x14ac:dyDescent="0.35">
      <c r="A1509" t="str">
        <f t="shared" si="257"/>
        <v>NOV</v>
      </c>
      <c r="B1509" t="str">
        <f t="shared" si="251"/>
        <v>20</v>
      </c>
      <c r="C1509" t="str">
        <f t="shared" si="252"/>
        <v>2020/21</v>
      </c>
      <c r="D1509" t="str">
        <f t="shared" si="258"/>
        <v>SS SL 114876</v>
      </c>
      <c r="E1509" t="str">
        <f t="shared" si="253"/>
        <v>SS</v>
      </c>
      <c r="F1509" t="s">
        <v>25</v>
      </c>
      <c r="G1509" t="s">
        <v>22</v>
      </c>
      <c r="H1509">
        <v>1577</v>
      </c>
      <c r="I1509" t="str">
        <f t="shared" si="259"/>
        <v>Mencap Northern Division</v>
      </c>
      <c r="J1509" t="str">
        <f t="shared" si="260"/>
        <v>Princess Street (Mencap) Voluntary Associations Agency And Contracted Services Supported Living Adult Health &amp; Social Care</v>
      </c>
    </row>
    <row r="1510" spans="1:10" x14ac:dyDescent="0.35">
      <c r="A1510" t="str">
        <f t="shared" si="257"/>
        <v>NOV</v>
      </c>
      <c r="B1510" t="str">
        <f t="shared" si="251"/>
        <v>20</v>
      </c>
      <c r="C1510" t="str">
        <f t="shared" si="252"/>
        <v>2020/21</v>
      </c>
      <c r="D1510" t="str">
        <f t="shared" si="258"/>
        <v>SS SL 114876</v>
      </c>
      <c r="E1510" t="str">
        <f t="shared" si="253"/>
        <v>SS</v>
      </c>
      <c r="F1510" t="s">
        <v>25</v>
      </c>
      <c r="G1510" t="s">
        <v>22</v>
      </c>
      <c r="H1510">
        <v>3154</v>
      </c>
      <c r="I1510" t="str">
        <f t="shared" si="259"/>
        <v>Mencap Northern Division</v>
      </c>
      <c r="J1510" t="str">
        <f t="shared" si="260"/>
        <v>Princess Street (Mencap) Voluntary Associations Agency And Contracted Services Supported Living Adult Health &amp; Social Care</v>
      </c>
    </row>
    <row r="1511" spans="1:10" x14ac:dyDescent="0.35">
      <c r="A1511" t="str">
        <f t="shared" si="257"/>
        <v>NOV</v>
      </c>
      <c r="B1511" t="str">
        <f t="shared" si="251"/>
        <v>20</v>
      </c>
      <c r="C1511" t="str">
        <f t="shared" si="252"/>
        <v>2020/21</v>
      </c>
      <c r="D1511" t="str">
        <f t="shared" si="258"/>
        <v>SS SL 114876</v>
      </c>
      <c r="E1511" t="str">
        <f t="shared" si="253"/>
        <v>SS</v>
      </c>
      <c r="F1511" t="s">
        <v>25</v>
      </c>
      <c r="G1511" t="s">
        <v>22</v>
      </c>
      <c r="H1511">
        <v>3154</v>
      </c>
      <c r="I1511" t="str">
        <f t="shared" si="259"/>
        <v>Mencap Northern Division</v>
      </c>
      <c r="J1511" t="str">
        <f t="shared" si="260"/>
        <v>Princess Street (Mencap) Voluntary Associations Agency And Contracted Services Supported Living Adult Health &amp; Social Care</v>
      </c>
    </row>
    <row r="1512" spans="1:10" x14ac:dyDescent="0.35">
      <c r="A1512" t="str">
        <f t="shared" si="257"/>
        <v>NOV</v>
      </c>
      <c r="B1512" t="str">
        <f t="shared" si="251"/>
        <v>20</v>
      </c>
      <c r="C1512" t="str">
        <f t="shared" si="252"/>
        <v>2020/21</v>
      </c>
      <c r="D1512" t="str">
        <f t="shared" si="258"/>
        <v>SS SL 114876</v>
      </c>
      <c r="E1512" t="str">
        <f t="shared" si="253"/>
        <v>SS</v>
      </c>
      <c r="F1512" t="s">
        <v>25</v>
      </c>
      <c r="G1512" t="s">
        <v>22</v>
      </c>
      <c r="H1512">
        <v>3154</v>
      </c>
      <c r="I1512" t="str">
        <f t="shared" si="259"/>
        <v>Mencap Northern Division</v>
      </c>
      <c r="J1512" t="str">
        <f t="shared" si="260"/>
        <v>Princess Street (Mencap) Voluntary Associations Agency And Contracted Services Supported Living Adult Health &amp; Social Care</v>
      </c>
    </row>
    <row r="1513" spans="1:10" x14ac:dyDescent="0.35">
      <c r="A1513" t="str">
        <f t="shared" si="257"/>
        <v>NOV</v>
      </c>
      <c r="B1513" t="str">
        <f t="shared" si="251"/>
        <v>20</v>
      </c>
      <c r="C1513" t="str">
        <f t="shared" si="252"/>
        <v>2020/21</v>
      </c>
      <c r="D1513" t="str">
        <f t="shared" ref="D1513:D1525" si="261">"SS SL 114875"</f>
        <v>SS SL 114875</v>
      </c>
      <c r="E1513" t="str">
        <f t="shared" si="253"/>
        <v>SS</v>
      </c>
      <c r="F1513" t="s">
        <v>25</v>
      </c>
      <c r="G1513" t="s">
        <v>22</v>
      </c>
      <c r="H1513">
        <v>1859.2</v>
      </c>
      <c r="I1513" t="str">
        <f t="shared" si="259"/>
        <v>Mencap Northern Division</v>
      </c>
      <c r="J1513" t="str">
        <f t="shared" ref="J1513:J1525" si="262"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1514" spans="1:10" x14ac:dyDescent="0.35">
      <c r="A1514" t="str">
        <f t="shared" si="257"/>
        <v>NOV</v>
      </c>
      <c r="B1514" t="str">
        <f t="shared" si="251"/>
        <v>20</v>
      </c>
      <c r="C1514" t="str">
        <f t="shared" si="252"/>
        <v>2020/21</v>
      </c>
      <c r="D1514" t="str">
        <f t="shared" si="261"/>
        <v>SS SL 114875</v>
      </c>
      <c r="E1514" t="str">
        <f t="shared" si="253"/>
        <v>SS</v>
      </c>
      <c r="F1514" t="s">
        <v>25</v>
      </c>
      <c r="G1514" t="s">
        <v>22</v>
      </c>
      <c r="H1514">
        <v>2207.8000000000002</v>
      </c>
      <c r="I1514" t="str">
        <f t="shared" si="259"/>
        <v>Mencap Northern Division</v>
      </c>
      <c r="J1514" t="str">
        <f t="shared" si="262"/>
        <v>Forest House (Mencap) Voluntary Associations Agency And Contracted Services Supported Living Adult Health &amp; Social Care</v>
      </c>
    </row>
    <row r="1515" spans="1:10" x14ac:dyDescent="0.35">
      <c r="A1515" t="str">
        <f t="shared" si="257"/>
        <v>NOV</v>
      </c>
      <c r="B1515" t="str">
        <f t="shared" si="251"/>
        <v>20</v>
      </c>
      <c r="C1515" t="str">
        <f t="shared" si="252"/>
        <v>2020/21</v>
      </c>
      <c r="D1515" t="str">
        <f t="shared" si="261"/>
        <v>SS SL 114875</v>
      </c>
      <c r="E1515" t="str">
        <f t="shared" si="253"/>
        <v>SS</v>
      </c>
      <c r="F1515" t="s">
        <v>25</v>
      </c>
      <c r="G1515" t="s">
        <v>22</v>
      </c>
      <c r="H1515">
        <v>2207.8000000000002</v>
      </c>
      <c r="I1515" t="str">
        <f t="shared" si="259"/>
        <v>Mencap Northern Division</v>
      </c>
      <c r="J1515" t="str">
        <f t="shared" si="262"/>
        <v>Forest House (Mencap) Voluntary Associations Agency And Contracted Services Supported Living Adult Health &amp; Social Care</v>
      </c>
    </row>
    <row r="1516" spans="1:10" x14ac:dyDescent="0.35">
      <c r="A1516" t="str">
        <f t="shared" si="257"/>
        <v>NOV</v>
      </c>
      <c r="B1516" t="str">
        <f t="shared" si="251"/>
        <v>20</v>
      </c>
      <c r="C1516" t="str">
        <f t="shared" si="252"/>
        <v>2020/21</v>
      </c>
      <c r="D1516" t="str">
        <f t="shared" si="261"/>
        <v>SS SL 114875</v>
      </c>
      <c r="E1516" t="str">
        <f t="shared" si="253"/>
        <v>SS</v>
      </c>
      <c r="F1516" t="s">
        <v>25</v>
      </c>
      <c r="G1516" t="s">
        <v>22</v>
      </c>
      <c r="H1516">
        <v>2606.1999999999998</v>
      </c>
      <c r="I1516" t="str">
        <f t="shared" si="259"/>
        <v>Mencap Northern Division</v>
      </c>
      <c r="J1516" t="str">
        <f t="shared" si="262"/>
        <v>Forest House (Mencap) Voluntary Associations Agency And Contracted Services Supported Living Adult Health &amp; Social Care</v>
      </c>
    </row>
    <row r="1517" spans="1:10" x14ac:dyDescent="0.35">
      <c r="A1517" t="str">
        <f t="shared" si="257"/>
        <v>NOV</v>
      </c>
      <c r="B1517" t="str">
        <f t="shared" si="251"/>
        <v>20</v>
      </c>
      <c r="C1517" t="str">
        <f t="shared" si="252"/>
        <v>2020/21</v>
      </c>
      <c r="D1517" t="str">
        <f t="shared" si="261"/>
        <v>SS SL 114875</v>
      </c>
      <c r="E1517" t="str">
        <f t="shared" si="253"/>
        <v>SS</v>
      </c>
      <c r="F1517" t="s">
        <v>25</v>
      </c>
      <c r="G1517" t="s">
        <v>22</v>
      </c>
      <c r="H1517">
        <v>1103.9000000000001</v>
      </c>
      <c r="I1517" t="str">
        <f t="shared" si="259"/>
        <v>Mencap Northern Division</v>
      </c>
      <c r="J1517" t="str">
        <f t="shared" si="262"/>
        <v>Forest House (Mencap) Voluntary Associations Agency And Contracted Services Supported Living Adult Health &amp; Social Care</v>
      </c>
    </row>
    <row r="1518" spans="1:10" x14ac:dyDescent="0.35">
      <c r="A1518" t="str">
        <f t="shared" si="257"/>
        <v>NOV</v>
      </c>
      <c r="B1518" t="str">
        <f t="shared" si="251"/>
        <v>20</v>
      </c>
      <c r="C1518" t="str">
        <f t="shared" si="252"/>
        <v>2020/21</v>
      </c>
      <c r="D1518" t="str">
        <f t="shared" si="261"/>
        <v>SS SL 114875</v>
      </c>
      <c r="E1518" t="str">
        <f t="shared" si="253"/>
        <v>SS</v>
      </c>
      <c r="F1518" t="s">
        <v>25</v>
      </c>
      <c r="G1518" t="s">
        <v>22</v>
      </c>
      <c r="H1518">
        <v>2207.8000000000002</v>
      </c>
      <c r="I1518" t="str">
        <f t="shared" si="259"/>
        <v>Mencap Northern Division</v>
      </c>
      <c r="J1518" t="str">
        <f t="shared" si="262"/>
        <v>Forest House (Mencap) Voluntary Associations Agency And Contracted Services Supported Living Adult Health &amp; Social Care</v>
      </c>
    </row>
    <row r="1519" spans="1:10" x14ac:dyDescent="0.35">
      <c r="A1519" t="str">
        <f t="shared" si="257"/>
        <v>NOV</v>
      </c>
      <c r="B1519" t="str">
        <f t="shared" si="251"/>
        <v>20</v>
      </c>
      <c r="C1519" t="str">
        <f t="shared" si="252"/>
        <v>2020/21</v>
      </c>
      <c r="D1519" t="str">
        <f t="shared" si="261"/>
        <v>SS SL 114875</v>
      </c>
      <c r="E1519" t="str">
        <f t="shared" si="253"/>
        <v>SS</v>
      </c>
      <c r="F1519" t="s">
        <v>25</v>
      </c>
      <c r="G1519" t="s">
        <v>22</v>
      </c>
      <c r="H1519">
        <v>2207.8000000000002</v>
      </c>
      <c r="I1519" t="str">
        <f t="shared" si="259"/>
        <v>Mencap Northern Division</v>
      </c>
      <c r="J1519" t="str">
        <f t="shared" si="262"/>
        <v>Forest House (Mencap) Voluntary Associations Agency And Contracted Services Supported Living Adult Health &amp; Social Care</v>
      </c>
    </row>
    <row r="1520" spans="1:10" x14ac:dyDescent="0.35">
      <c r="A1520" t="str">
        <f t="shared" si="257"/>
        <v>NOV</v>
      </c>
      <c r="B1520" t="str">
        <f t="shared" si="251"/>
        <v>20</v>
      </c>
      <c r="C1520" t="str">
        <f t="shared" si="252"/>
        <v>2020/21</v>
      </c>
      <c r="D1520" t="str">
        <f t="shared" si="261"/>
        <v>SS SL 114875</v>
      </c>
      <c r="E1520" t="str">
        <f t="shared" si="253"/>
        <v>SS</v>
      </c>
      <c r="F1520" t="s">
        <v>25</v>
      </c>
      <c r="G1520" t="s">
        <v>22</v>
      </c>
      <c r="H1520">
        <v>1103.9000000000001</v>
      </c>
      <c r="I1520" t="str">
        <f t="shared" si="259"/>
        <v>Mencap Northern Division</v>
      </c>
      <c r="J1520" t="str">
        <f t="shared" si="262"/>
        <v>Forest House (Mencap) Voluntary Associations Agency And Contracted Services Supported Living Adult Health &amp; Social Care</v>
      </c>
    </row>
    <row r="1521" spans="1:10" x14ac:dyDescent="0.35">
      <c r="A1521" t="str">
        <f t="shared" si="257"/>
        <v>NOV</v>
      </c>
      <c r="B1521" t="str">
        <f t="shared" si="251"/>
        <v>20</v>
      </c>
      <c r="C1521" t="str">
        <f t="shared" si="252"/>
        <v>2020/21</v>
      </c>
      <c r="D1521" t="str">
        <f t="shared" si="261"/>
        <v>SS SL 114875</v>
      </c>
      <c r="E1521" t="str">
        <f t="shared" si="253"/>
        <v>SS</v>
      </c>
      <c r="F1521" t="s">
        <v>25</v>
      </c>
      <c r="G1521" t="s">
        <v>22</v>
      </c>
      <c r="H1521">
        <v>2207.8000000000002</v>
      </c>
      <c r="I1521" t="str">
        <f t="shared" si="259"/>
        <v>Mencap Northern Division</v>
      </c>
      <c r="J1521" t="str">
        <f t="shared" si="262"/>
        <v>Forest House (Mencap) Voluntary Associations Agency And Contracted Services Supported Living Adult Health &amp; Social Care</v>
      </c>
    </row>
    <row r="1522" spans="1:10" x14ac:dyDescent="0.35">
      <c r="A1522" t="str">
        <f t="shared" si="257"/>
        <v>NOV</v>
      </c>
      <c r="B1522" t="str">
        <f t="shared" si="251"/>
        <v>20</v>
      </c>
      <c r="C1522" t="str">
        <f t="shared" si="252"/>
        <v>2020/21</v>
      </c>
      <c r="D1522" t="str">
        <f t="shared" si="261"/>
        <v>SS SL 114875</v>
      </c>
      <c r="E1522" t="str">
        <f t="shared" si="253"/>
        <v>SS</v>
      </c>
      <c r="F1522" t="s">
        <v>25</v>
      </c>
      <c r="G1522" t="s">
        <v>22</v>
      </c>
      <c r="H1522">
        <v>2207.8000000000002</v>
      </c>
      <c r="I1522" t="str">
        <f t="shared" si="259"/>
        <v>Mencap Northern Division</v>
      </c>
      <c r="J1522" t="str">
        <f t="shared" si="262"/>
        <v>Forest House (Mencap) Voluntary Associations Agency And Contracted Services Supported Living Adult Health &amp; Social Care</v>
      </c>
    </row>
    <row r="1523" spans="1:10" x14ac:dyDescent="0.35">
      <c r="A1523" t="str">
        <f t="shared" si="257"/>
        <v>NOV</v>
      </c>
      <c r="B1523" t="str">
        <f t="shared" si="251"/>
        <v>20</v>
      </c>
      <c r="C1523" t="str">
        <f t="shared" si="252"/>
        <v>2020/21</v>
      </c>
      <c r="D1523" t="str">
        <f t="shared" si="261"/>
        <v>SS SL 114875</v>
      </c>
      <c r="E1523" t="str">
        <f t="shared" si="253"/>
        <v>SS</v>
      </c>
      <c r="F1523" t="s">
        <v>25</v>
      </c>
      <c r="G1523" t="s">
        <v>22</v>
      </c>
      <c r="H1523">
        <v>1303.0999999999999</v>
      </c>
      <c r="I1523" t="str">
        <f t="shared" si="259"/>
        <v>Mencap Northern Division</v>
      </c>
      <c r="J1523" t="str">
        <f t="shared" si="262"/>
        <v>Forest House (Mencap) Voluntary Associations Agency And Contracted Services Supported Living Adult Health &amp; Social Care</v>
      </c>
    </row>
    <row r="1524" spans="1:10" x14ac:dyDescent="0.35">
      <c r="A1524" t="str">
        <f t="shared" si="257"/>
        <v>NOV</v>
      </c>
      <c r="B1524" t="str">
        <f t="shared" si="251"/>
        <v>20</v>
      </c>
      <c r="C1524" t="str">
        <f t="shared" si="252"/>
        <v>2020/21</v>
      </c>
      <c r="D1524" t="str">
        <f t="shared" si="261"/>
        <v>SS SL 114875</v>
      </c>
      <c r="E1524" t="str">
        <f t="shared" si="253"/>
        <v>SS</v>
      </c>
      <c r="F1524" t="s">
        <v>25</v>
      </c>
      <c r="G1524" t="s">
        <v>22</v>
      </c>
      <c r="H1524">
        <v>2606.1999999999998</v>
      </c>
      <c r="I1524" t="str">
        <f t="shared" si="259"/>
        <v>Mencap Northern Division</v>
      </c>
      <c r="J1524" t="str">
        <f t="shared" si="262"/>
        <v>Forest House (Mencap) Voluntary Associations Agency And Contracted Services Supported Living Adult Health &amp; Social Care</v>
      </c>
    </row>
    <row r="1525" spans="1:10" x14ac:dyDescent="0.35">
      <c r="A1525" t="str">
        <f t="shared" si="257"/>
        <v>NOV</v>
      </c>
      <c r="B1525" t="str">
        <f t="shared" si="251"/>
        <v>20</v>
      </c>
      <c r="C1525" t="str">
        <f t="shared" si="252"/>
        <v>2020/21</v>
      </c>
      <c r="D1525" t="str">
        <f t="shared" si="261"/>
        <v>SS SL 114875</v>
      </c>
      <c r="E1525" t="str">
        <f t="shared" si="253"/>
        <v>SS</v>
      </c>
      <c r="F1525" t="s">
        <v>25</v>
      </c>
      <c r="G1525" t="s">
        <v>22</v>
      </c>
      <c r="H1525">
        <v>2606.1999999999998</v>
      </c>
      <c r="I1525" t="str">
        <f t="shared" si="259"/>
        <v>Mencap Northern Division</v>
      </c>
      <c r="J1525" t="str">
        <f t="shared" si="262"/>
        <v>Forest House (Mencap) Voluntary Associations Agency And Contracted Services Supported Living Adult Health &amp; Social Care</v>
      </c>
    </row>
    <row r="1526" spans="1:10" x14ac:dyDescent="0.35">
      <c r="A1526" t="str">
        <f t="shared" si="257"/>
        <v>NOV</v>
      </c>
      <c r="B1526" t="str">
        <f t="shared" si="251"/>
        <v>20</v>
      </c>
      <c r="C1526" t="str">
        <f t="shared" si="252"/>
        <v>2020/21</v>
      </c>
      <c r="D1526" t="str">
        <f>"SS SL 113560"</f>
        <v>SS SL 113560</v>
      </c>
      <c r="E1526" t="str">
        <f t="shared" si="253"/>
        <v>SS</v>
      </c>
      <c r="F1526" t="s">
        <v>25</v>
      </c>
      <c r="G1526" t="s">
        <v>22</v>
      </c>
      <c r="H1526">
        <v>2639.96</v>
      </c>
      <c r="I1526" t="str">
        <f>"Camphill Village Trust"</f>
        <v>Camphill Village Trust</v>
      </c>
      <c r="J1526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1527" spans="1:10" x14ac:dyDescent="0.35">
      <c r="A1527" t="str">
        <f t="shared" si="257"/>
        <v>NOV</v>
      </c>
      <c r="B1527" t="str">
        <f t="shared" si="251"/>
        <v>20</v>
      </c>
      <c r="C1527" t="str">
        <f t="shared" si="252"/>
        <v>2020/21</v>
      </c>
      <c r="D1527" t="str">
        <f t="shared" ref="D1527:D1540" si="263">"SS SL 114909"</f>
        <v>SS SL 114909</v>
      </c>
      <c r="E1527" t="str">
        <f t="shared" si="253"/>
        <v>SS</v>
      </c>
      <c r="F1527" t="s">
        <v>25</v>
      </c>
      <c r="G1527" t="s">
        <v>22</v>
      </c>
      <c r="H1527">
        <v>-44.2</v>
      </c>
      <c r="I1527" t="str">
        <f t="shared" ref="I1527:I1552" si="264">"Possabilities CIC"</f>
        <v>Possabilities CIC</v>
      </c>
      <c r="J1527" t="str">
        <f t="shared" ref="J1527:J1540" si="265">"Vale Street (Possibilities) Voluntary Associations Agency And Contracted Services Supported Living Adult Health &amp; Social Care"</f>
        <v>Vale Street (Possibilities) Voluntary Associations Agency And Contracted Services Supported Living Adult Health &amp; Social Care</v>
      </c>
    </row>
    <row r="1528" spans="1:10" x14ac:dyDescent="0.35">
      <c r="A1528" t="str">
        <f t="shared" si="257"/>
        <v>NOV</v>
      </c>
      <c r="B1528" t="str">
        <f t="shared" si="251"/>
        <v>20</v>
      </c>
      <c r="C1528" t="str">
        <f t="shared" si="252"/>
        <v>2020/21</v>
      </c>
      <c r="D1528" t="str">
        <f t="shared" si="263"/>
        <v>SS SL 114909</v>
      </c>
      <c r="E1528" t="str">
        <f t="shared" si="253"/>
        <v>SS</v>
      </c>
      <c r="F1528" t="s">
        <v>25</v>
      </c>
      <c r="G1528" t="s">
        <v>22</v>
      </c>
      <c r="H1528">
        <v>3483.78</v>
      </c>
      <c r="I1528" t="str">
        <f t="shared" si="264"/>
        <v>Possabilities CIC</v>
      </c>
      <c r="J1528" t="str">
        <f t="shared" si="265"/>
        <v>Vale Street (Possibilities) Voluntary Associations Agency And Contracted Services Supported Living Adult Health &amp; Social Care</v>
      </c>
    </row>
    <row r="1529" spans="1:10" x14ac:dyDescent="0.35">
      <c r="A1529" t="str">
        <f t="shared" si="257"/>
        <v>NOV</v>
      </c>
      <c r="B1529" t="str">
        <f t="shared" si="251"/>
        <v>20</v>
      </c>
      <c r="C1529" t="str">
        <f t="shared" si="252"/>
        <v>2020/21</v>
      </c>
      <c r="D1529" t="str">
        <f t="shared" si="263"/>
        <v>SS SL 114909</v>
      </c>
      <c r="E1529" t="str">
        <f t="shared" si="253"/>
        <v>SS</v>
      </c>
      <c r="F1529" t="s">
        <v>25</v>
      </c>
      <c r="G1529" t="s">
        <v>22</v>
      </c>
      <c r="H1529">
        <v>3476.22</v>
      </c>
      <c r="I1529" t="str">
        <f t="shared" si="264"/>
        <v>Possabilities CIC</v>
      </c>
      <c r="J1529" t="str">
        <f t="shared" si="265"/>
        <v>Vale Street (Possibilities) Voluntary Associations Agency And Contracted Services Supported Living Adult Health &amp; Social Care</v>
      </c>
    </row>
    <row r="1530" spans="1:10" x14ac:dyDescent="0.35">
      <c r="A1530" t="str">
        <f t="shared" si="257"/>
        <v>NOV</v>
      </c>
      <c r="B1530" t="str">
        <f t="shared" si="251"/>
        <v>20</v>
      </c>
      <c r="C1530" t="str">
        <f t="shared" si="252"/>
        <v>2020/21</v>
      </c>
      <c r="D1530" t="str">
        <f t="shared" si="263"/>
        <v>SS SL 114909</v>
      </c>
      <c r="E1530" t="str">
        <f t="shared" si="253"/>
        <v>SS</v>
      </c>
      <c r="F1530" t="s">
        <v>25</v>
      </c>
      <c r="G1530" t="s">
        <v>22</v>
      </c>
      <c r="H1530">
        <v>3320.5</v>
      </c>
      <c r="I1530" t="str">
        <f t="shared" si="264"/>
        <v>Possabilities CIC</v>
      </c>
      <c r="J1530" t="str">
        <f t="shared" si="265"/>
        <v>Vale Street (Possibilities) Voluntary Associations Agency And Contracted Services Supported Living Adult Health &amp; Social Care</v>
      </c>
    </row>
    <row r="1531" spans="1:10" x14ac:dyDescent="0.35">
      <c r="A1531" t="str">
        <f t="shared" si="257"/>
        <v>NOV</v>
      </c>
      <c r="B1531" t="str">
        <f t="shared" si="251"/>
        <v>20</v>
      </c>
      <c r="C1531" t="str">
        <f t="shared" si="252"/>
        <v>2020/21</v>
      </c>
      <c r="D1531" t="str">
        <f t="shared" si="263"/>
        <v>SS SL 114909</v>
      </c>
      <c r="E1531" t="str">
        <f t="shared" si="253"/>
        <v>SS</v>
      </c>
      <c r="F1531" t="s">
        <v>25</v>
      </c>
      <c r="G1531" t="s">
        <v>22</v>
      </c>
      <c r="H1531">
        <v>3228.9</v>
      </c>
      <c r="I1531" t="str">
        <f t="shared" si="264"/>
        <v>Possabilities CIC</v>
      </c>
      <c r="J1531" t="str">
        <f t="shared" si="265"/>
        <v>Vale Street (Possibilities) Voluntary Associations Agency And Contracted Services Supported Living Adult Health &amp; Social Care</v>
      </c>
    </row>
    <row r="1532" spans="1:10" x14ac:dyDescent="0.35">
      <c r="A1532" t="str">
        <f t="shared" si="257"/>
        <v>NOV</v>
      </c>
      <c r="B1532" t="str">
        <f t="shared" si="251"/>
        <v>20</v>
      </c>
      <c r="C1532" t="str">
        <f t="shared" si="252"/>
        <v>2020/21</v>
      </c>
      <c r="D1532" t="str">
        <f t="shared" si="263"/>
        <v>SS SL 114909</v>
      </c>
      <c r="E1532" t="str">
        <f t="shared" si="253"/>
        <v>SS</v>
      </c>
      <c r="F1532" t="s">
        <v>25</v>
      </c>
      <c r="G1532" t="s">
        <v>22</v>
      </c>
      <c r="H1532">
        <v>3480.8</v>
      </c>
      <c r="I1532" t="str">
        <f t="shared" si="264"/>
        <v>Possabilities CIC</v>
      </c>
      <c r="J1532" t="str">
        <f t="shared" si="265"/>
        <v>Vale Street (Possibilities) Voluntary Associations Agency And Contracted Services Supported Living Adult Health &amp; Social Care</v>
      </c>
    </row>
    <row r="1533" spans="1:10" x14ac:dyDescent="0.35">
      <c r="A1533" t="str">
        <f t="shared" si="257"/>
        <v>NOV</v>
      </c>
      <c r="B1533" t="str">
        <f t="shared" si="251"/>
        <v>20</v>
      </c>
      <c r="C1533" t="str">
        <f t="shared" si="252"/>
        <v>2020/21</v>
      </c>
      <c r="D1533" t="str">
        <f t="shared" si="263"/>
        <v>SS SL 114909</v>
      </c>
      <c r="E1533" t="str">
        <f t="shared" si="253"/>
        <v>SS</v>
      </c>
      <c r="F1533" t="s">
        <v>25</v>
      </c>
      <c r="G1533" t="s">
        <v>22</v>
      </c>
      <c r="H1533">
        <v>1533</v>
      </c>
      <c r="I1533" t="str">
        <f t="shared" si="264"/>
        <v>Possabilities CIC</v>
      </c>
      <c r="J1533" t="str">
        <f t="shared" si="265"/>
        <v>Vale Street (Possibilities) Voluntary Associations Agency And Contracted Services Supported Living Adult Health &amp; Social Care</v>
      </c>
    </row>
    <row r="1534" spans="1:10" x14ac:dyDescent="0.35">
      <c r="A1534" t="str">
        <f t="shared" si="257"/>
        <v>NOV</v>
      </c>
      <c r="B1534" t="str">
        <f t="shared" si="251"/>
        <v>20</v>
      </c>
      <c r="C1534" t="str">
        <f t="shared" si="252"/>
        <v>2020/21</v>
      </c>
      <c r="D1534" t="str">
        <f t="shared" si="263"/>
        <v>SS SL 114909</v>
      </c>
      <c r="E1534" t="str">
        <f t="shared" si="253"/>
        <v>SS</v>
      </c>
      <c r="F1534" t="s">
        <v>25</v>
      </c>
      <c r="G1534" t="s">
        <v>22</v>
      </c>
      <c r="H1534">
        <v>3480.75</v>
      </c>
      <c r="I1534" t="str">
        <f t="shared" si="264"/>
        <v>Possabilities CIC</v>
      </c>
      <c r="J1534" t="str">
        <f t="shared" si="265"/>
        <v>Vale Street (Possibilities) Voluntary Associations Agency And Contracted Services Supported Living Adult Health &amp; Social Care</v>
      </c>
    </row>
    <row r="1535" spans="1:10" x14ac:dyDescent="0.35">
      <c r="A1535" t="str">
        <f t="shared" si="257"/>
        <v>NOV</v>
      </c>
      <c r="B1535" t="str">
        <f t="shared" si="251"/>
        <v>20</v>
      </c>
      <c r="C1535" t="str">
        <f t="shared" si="252"/>
        <v>2020/21</v>
      </c>
      <c r="D1535" t="str">
        <f t="shared" si="263"/>
        <v>SS SL 114909</v>
      </c>
      <c r="E1535" t="str">
        <f t="shared" si="253"/>
        <v>SS</v>
      </c>
      <c r="F1535" t="s">
        <v>25</v>
      </c>
      <c r="G1535" t="s">
        <v>22</v>
      </c>
      <c r="H1535">
        <v>3313.86</v>
      </c>
      <c r="I1535" t="str">
        <f t="shared" si="264"/>
        <v>Possabilities CIC</v>
      </c>
      <c r="J1535" t="str">
        <f t="shared" si="265"/>
        <v>Vale Street (Possibilities) Voluntary Associations Agency And Contracted Services Supported Living Adult Health &amp; Social Care</v>
      </c>
    </row>
    <row r="1536" spans="1:10" x14ac:dyDescent="0.35">
      <c r="A1536" t="str">
        <f t="shared" si="257"/>
        <v>NOV</v>
      </c>
      <c r="B1536" t="str">
        <f t="shared" si="251"/>
        <v>20</v>
      </c>
      <c r="C1536" t="str">
        <f t="shared" si="252"/>
        <v>2020/21</v>
      </c>
      <c r="D1536" t="str">
        <f t="shared" si="263"/>
        <v>SS SL 114909</v>
      </c>
      <c r="E1536" t="str">
        <f t="shared" si="253"/>
        <v>SS</v>
      </c>
      <c r="F1536" t="s">
        <v>25</v>
      </c>
      <c r="G1536" t="s">
        <v>22</v>
      </c>
      <c r="H1536">
        <v>3480.8</v>
      </c>
      <c r="I1536" t="str">
        <f t="shared" si="264"/>
        <v>Possabilities CIC</v>
      </c>
      <c r="J1536" t="str">
        <f t="shared" si="265"/>
        <v>Vale Street (Possibilities) Voluntary Associations Agency And Contracted Services Supported Living Adult Health &amp; Social Care</v>
      </c>
    </row>
    <row r="1537" spans="1:10" x14ac:dyDescent="0.35">
      <c r="A1537" t="str">
        <f t="shared" si="257"/>
        <v>NOV</v>
      </c>
      <c r="B1537" t="str">
        <f t="shared" si="251"/>
        <v>20</v>
      </c>
      <c r="C1537" t="str">
        <f t="shared" si="252"/>
        <v>2020/21</v>
      </c>
      <c r="D1537" t="str">
        <f t="shared" si="263"/>
        <v>SS SL 114909</v>
      </c>
      <c r="E1537" t="str">
        <f t="shared" si="253"/>
        <v>SS</v>
      </c>
      <c r="F1537" t="s">
        <v>25</v>
      </c>
      <c r="G1537" t="s">
        <v>22</v>
      </c>
      <c r="H1537">
        <v>3208.29</v>
      </c>
      <c r="I1537" t="str">
        <f t="shared" si="264"/>
        <v>Possabilities CIC</v>
      </c>
      <c r="J1537" t="str">
        <f t="shared" si="265"/>
        <v>Vale Street (Possibilities) Voluntary Associations Agency And Contracted Services Supported Living Adult Health &amp; Social Care</v>
      </c>
    </row>
    <row r="1538" spans="1:10" x14ac:dyDescent="0.35">
      <c r="A1538" t="str">
        <f t="shared" si="257"/>
        <v>NOV</v>
      </c>
      <c r="B1538" t="str">
        <f t="shared" ref="B1538:B1601" si="266">"20"</f>
        <v>20</v>
      </c>
      <c r="C1538" t="str">
        <f t="shared" ref="C1538:C1601" si="267">"2020/21"</f>
        <v>2020/21</v>
      </c>
      <c r="D1538" t="str">
        <f t="shared" si="263"/>
        <v>SS SL 114909</v>
      </c>
      <c r="E1538" t="str">
        <f t="shared" ref="E1538:E1601" si="268">LEFT(D1538,2)</f>
        <v>SS</v>
      </c>
      <c r="F1538" t="s">
        <v>25</v>
      </c>
      <c r="G1538" t="s">
        <v>22</v>
      </c>
      <c r="H1538">
        <v>1533</v>
      </c>
      <c r="I1538" t="str">
        <f t="shared" si="264"/>
        <v>Possabilities CIC</v>
      </c>
      <c r="J1538" t="str">
        <f t="shared" si="265"/>
        <v>Vale Street (Possibilities) Voluntary Associations Agency And Contracted Services Supported Living Adult Health &amp; Social Care</v>
      </c>
    </row>
    <row r="1539" spans="1:10" x14ac:dyDescent="0.35">
      <c r="A1539" t="str">
        <f t="shared" si="257"/>
        <v>NOV</v>
      </c>
      <c r="B1539" t="str">
        <f t="shared" si="266"/>
        <v>20</v>
      </c>
      <c r="C1539" t="str">
        <f t="shared" si="267"/>
        <v>2020/21</v>
      </c>
      <c r="D1539" t="str">
        <f t="shared" si="263"/>
        <v>SS SL 114909</v>
      </c>
      <c r="E1539" t="str">
        <f t="shared" si="268"/>
        <v>SS</v>
      </c>
      <c r="F1539" t="s">
        <v>25</v>
      </c>
      <c r="G1539" t="s">
        <v>22</v>
      </c>
      <c r="H1539">
        <v>3480.75</v>
      </c>
      <c r="I1539" t="str">
        <f t="shared" si="264"/>
        <v>Possabilities CIC</v>
      </c>
      <c r="J1539" t="str">
        <f t="shared" si="265"/>
        <v>Vale Street (Possibilities) Voluntary Associations Agency And Contracted Services Supported Living Adult Health &amp; Social Care</v>
      </c>
    </row>
    <row r="1540" spans="1:10" x14ac:dyDescent="0.35">
      <c r="A1540" t="str">
        <f t="shared" si="257"/>
        <v>NOV</v>
      </c>
      <c r="B1540" t="str">
        <f t="shared" si="266"/>
        <v>20</v>
      </c>
      <c r="C1540" t="str">
        <f t="shared" si="267"/>
        <v>2020/21</v>
      </c>
      <c r="D1540" t="str">
        <f t="shared" si="263"/>
        <v>SS SL 114909</v>
      </c>
      <c r="E1540" t="str">
        <f t="shared" si="268"/>
        <v>SS</v>
      </c>
      <c r="F1540" t="s">
        <v>25</v>
      </c>
      <c r="G1540" t="s">
        <v>22</v>
      </c>
      <c r="H1540">
        <v>-18.45</v>
      </c>
      <c r="I1540" t="str">
        <f t="shared" si="264"/>
        <v>Possabilities CIC</v>
      </c>
      <c r="J1540" t="str">
        <f t="shared" si="265"/>
        <v>Vale Street (Possibilities) Voluntary Associations Agency And Contracted Services Supported Living Adult Health &amp; Social Care</v>
      </c>
    </row>
    <row r="1541" spans="1:10" x14ac:dyDescent="0.35">
      <c r="A1541" t="str">
        <f t="shared" si="257"/>
        <v>NOV</v>
      </c>
      <c r="B1541" t="str">
        <f t="shared" si="266"/>
        <v>20</v>
      </c>
      <c r="C1541" t="str">
        <f t="shared" si="267"/>
        <v>2020/21</v>
      </c>
      <c r="D1541" t="str">
        <f t="shared" ref="D1541:D1546" si="269">"SS SL 114907"</f>
        <v>SS SL 114907</v>
      </c>
      <c r="E1541" t="str">
        <f t="shared" si="268"/>
        <v>SS</v>
      </c>
      <c r="F1541" t="s">
        <v>25</v>
      </c>
      <c r="G1541" t="s">
        <v>22</v>
      </c>
      <c r="H1541">
        <v>6595.2</v>
      </c>
      <c r="I1541" t="str">
        <f t="shared" si="264"/>
        <v>Possabilities CIC</v>
      </c>
      <c r="J1541" t="str">
        <f t="shared" ref="J1541:J1546" si="270"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1542" spans="1:10" x14ac:dyDescent="0.35">
      <c r="A1542" t="str">
        <f t="shared" si="257"/>
        <v>NOV</v>
      </c>
      <c r="B1542" t="str">
        <f t="shared" si="266"/>
        <v>20</v>
      </c>
      <c r="C1542" t="str">
        <f t="shared" si="267"/>
        <v>2020/21</v>
      </c>
      <c r="D1542" t="str">
        <f t="shared" si="269"/>
        <v>SS SL 114907</v>
      </c>
      <c r="E1542" t="str">
        <f t="shared" si="268"/>
        <v>SS</v>
      </c>
      <c r="F1542" t="s">
        <v>25</v>
      </c>
      <c r="G1542" t="s">
        <v>22</v>
      </c>
      <c r="H1542">
        <v>1533</v>
      </c>
      <c r="I1542" t="str">
        <f t="shared" si="264"/>
        <v>Possabilities CIC</v>
      </c>
      <c r="J1542" t="str">
        <f t="shared" si="270"/>
        <v>Dale Avenue (Possibilities) Voluntary Associations Agency And Contracted Services Supported Living Adult Health &amp; Social Care</v>
      </c>
    </row>
    <row r="1543" spans="1:10" x14ac:dyDescent="0.35">
      <c r="A1543" t="str">
        <f t="shared" si="257"/>
        <v>NOV</v>
      </c>
      <c r="B1543" t="str">
        <f t="shared" si="266"/>
        <v>20</v>
      </c>
      <c r="C1543" t="str">
        <f t="shared" si="267"/>
        <v>2020/21</v>
      </c>
      <c r="D1543" t="str">
        <f t="shared" si="269"/>
        <v>SS SL 114907</v>
      </c>
      <c r="E1543" t="str">
        <f t="shared" si="268"/>
        <v>SS</v>
      </c>
      <c r="F1543" t="s">
        <v>25</v>
      </c>
      <c r="G1543" t="s">
        <v>22</v>
      </c>
      <c r="H1543">
        <v>5679.2</v>
      </c>
      <c r="I1543" t="str">
        <f t="shared" si="264"/>
        <v>Possabilities CIC</v>
      </c>
      <c r="J1543" t="str">
        <f t="shared" si="270"/>
        <v>Dale Avenue (Possibilities) Voluntary Associations Agency And Contracted Services Supported Living Adult Health &amp; Social Care</v>
      </c>
    </row>
    <row r="1544" spans="1:10" x14ac:dyDescent="0.35">
      <c r="A1544" t="str">
        <f t="shared" si="257"/>
        <v>NOV</v>
      </c>
      <c r="B1544" t="str">
        <f t="shared" si="266"/>
        <v>20</v>
      </c>
      <c r="C1544" t="str">
        <f t="shared" si="267"/>
        <v>2020/21</v>
      </c>
      <c r="D1544" t="str">
        <f t="shared" si="269"/>
        <v>SS SL 114907</v>
      </c>
      <c r="E1544" t="str">
        <f t="shared" si="268"/>
        <v>SS</v>
      </c>
      <c r="F1544" t="s">
        <v>25</v>
      </c>
      <c r="G1544" t="s">
        <v>22</v>
      </c>
      <c r="H1544">
        <v>6595.2</v>
      </c>
      <c r="I1544" t="str">
        <f t="shared" si="264"/>
        <v>Possabilities CIC</v>
      </c>
      <c r="J1544" t="str">
        <f t="shared" si="270"/>
        <v>Dale Avenue (Possibilities) Voluntary Associations Agency And Contracted Services Supported Living Adult Health &amp; Social Care</v>
      </c>
    </row>
    <row r="1545" spans="1:10" x14ac:dyDescent="0.35">
      <c r="A1545" t="str">
        <f t="shared" si="257"/>
        <v>NOV</v>
      </c>
      <c r="B1545" t="str">
        <f t="shared" si="266"/>
        <v>20</v>
      </c>
      <c r="C1545" t="str">
        <f t="shared" si="267"/>
        <v>2020/21</v>
      </c>
      <c r="D1545" t="str">
        <f t="shared" si="269"/>
        <v>SS SL 114907</v>
      </c>
      <c r="E1545" t="str">
        <f t="shared" si="268"/>
        <v>SS</v>
      </c>
      <c r="F1545" t="s">
        <v>25</v>
      </c>
      <c r="G1545" t="s">
        <v>22</v>
      </c>
      <c r="H1545">
        <v>1533</v>
      </c>
      <c r="I1545" t="str">
        <f t="shared" si="264"/>
        <v>Possabilities CIC</v>
      </c>
      <c r="J1545" t="str">
        <f t="shared" si="270"/>
        <v>Dale Avenue (Possibilities) Voluntary Associations Agency And Contracted Services Supported Living Adult Health &amp; Social Care</v>
      </c>
    </row>
    <row r="1546" spans="1:10" x14ac:dyDescent="0.35">
      <c r="A1546" t="str">
        <f t="shared" si="257"/>
        <v>NOV</v>
      </c>
      <c r="B1546" t="str">
        <f t="shared" si="266"/>
        <v>20</v>
      </c>
      <c r="C1546" t="str">
        <f t="shared" si="267"/>
        <v>2020/21</v>
      </c>
      <c r="D1546" t="str">
        <f t="shared" si="269"/>
        <v>SS SL 114907</v>
      </c>
      <c r="E1546" t="str">
        <f t="shared" si="268"/>
        <v>SS</v>
      </c>
      <c r="F1546" t="s">
        <v>25</v>
      </c>
      <c r="G1546" t="s">
        <v>22</v>
      </c>
      <c r="H1546">
        <v>5679.2</v>
      </c>
      <c r="I1546" t="str">
        <f t="shared" si="264"/>
        <v>Possabilities CIC</v>
      </c>
      <c r="J1546" t="str">
        <f t="shared" si="270"/>
        <v>Dale Avenue (Possibilities) Voluntary Associations Agency And Contracted Services Supported Living Adult Health &amp; Social Care</v>
      </c>
    </row>
    <row r="1547" spans="1:10" x14ac:dyDescent="0.35">
      <c r="A1547" t="str">
        <f t="shared" si="257"/>
        <v>NOV</v>
      </c>
      <c r="B1547" t="str">
        <f t="shared" si="266"/>
        <v>20</v>
      </c>
      <c r="C1547" t="str">
        <f t="shared" si="267"/>
        <v>2020/21</v>
      </c>
      <c r="D1547" t="str">
        <f t="shared" ref="D1547:D1552" si="271">"SS SL 114908"</f>
        <v>SS SL 114908</v>
      </c>
      <c r="E1547" t="str">
        <f t="shared" si="268"/>
        <v>SS</v>
      </c>
      <c r="F1547" t="s">
        <v>25</v>
      </c>
      <c r="G1547" t="s">
        <v>22</v>
      </c>
      <c r="H1547">
        <v>4259.3999999999996</v>
      </c>
      <c r="I1547" t="str">
        <f t="shared" si="264"/>
        <v>Possabilities CIC</v>
      </c>
      <c r="J1547" t="str">
        <f t="shared" ref="J1547:J1552" si="272"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1548" spans="1:10" x14ac:dyDescent="0.35">
      <c r="A1548" t="str">
        <f t="shared" si="257"/>
        <v>NOV</v>
      </c>
      <c r="B1548" t="str">
        <f t="shared" si="266"/>
        <v>20</v>
      </c>
      <c r="C1548" t="str">
        <f t="shared" si="267"/>
        <v>2020/21</v>
      </c>
      <c r="D1548" t="str">
        <f t="shared" si="271"/>
        <v>SS SL 114908</v>
      </c>
      <c r="E1548" t="str">
        <f t="shared" si="268"/>
        <v>SS</v>
      </c>
      <c r="F1548" t="s">
        <v>25</v>
      </c>
      <c r="G1548" t="s">
        <v>22</v>
      </c>
      <c r="H1548">
        <v>4259.3999999999996</v>
      </c>
      <c r="I1548" t="str">
        <f t="shared" si="264"/>
        <v>Possabilities CIC</v>
      </c>
      <c r="J1548" t="str">
        <f t="shared" si="272"/>
        <v>Oakhill Lodge (Possibilities) Voluntary Associations Agency And Contracted Services Supported Living Adult Health &amp; Social Care</v>
      </c>
    </row>
    <row r="1549" spans="1:10" x14ac:dyDescent="0.35">
      <c r="A1549" t="str">
        <f t="shared" si="257"/>
        <v>NOV</v>
      </c>
      <c r="B1549" t="str">
        <f t="shared" si="266"/>
        <v>20</v>
      </c>
      <c r="C1549" t="str">
        <f t="shared" si="267"/>
        <v>2020/21</v>
      </c>
      <c r="D1549" t="str">
        <f t="shared" si="271"/>
        <v>SS SL 114908</v>
      </c>
      <c r="E1549" t="str">
        <f t="shared" si="268"/>
        <v>SS</v>
      </c>
      <c r="F1549" t="s">
        <v>25</v>
      </c>
      <c r="G1549" t="s">
        <v>22</v>
      </c>
      <c r="H1549">
        <v>1533</v>
      </c>
      <c r="I1549" t="str">
        <f t="shared" si="264"/>
        <v>Possabilities CIC</v>
      </c>
      <c r="J1549" t="str">
        <f t="shared" si="272"/>
        <v>Oakhill Lodge (Possibilities) Voluntary Associations Agency And Contracted Services Supported Living Adult Health &amp; Social Care</v>
      </c>
    </row>
    <row r="1550" spans="1:10" x14ac:dyDescent="0.35">
      <c r="A1550" t="str">
        <f t="shared" si="257"/>
        <v>NOV</v>
      </c>
      <c r="B1550" t="str">
        <f t="shared" si="266"/>
        <v>20</v>
      </c>
      <c r="C1550" t="str">
        <f t="shared" si="267"/>
        <v>2020/21</v>
      </c>
      <c r="D1550" t="str">
        <f t="shared" si="271"/>
        <v>SS SL 114908</v>
      </c>
      <c r="E1550" t="str">
        <f t="shared" si="268"/>
        <v>SS</v>
      </c>
      <c r="F1550" t="s">
        <v>25</v>
      </c>
      <c r="G1550" t="s">
        <v>22</v>
      </c>
      <c r="H1550">
        <v>-0.72</v>
      </c>
      <c r="I1550" t="str">
        <f t="shared" si="264"/>
        <v>Possabilities CIC</v>
      </c>
      <c r="J1550" t="str">
        <f t="shared" si="272"/>
        <v>Oakhill Lodge (Possibilities) Voluntary Associations Agency And Contracted Services Supported Living Adult Health &amp; Social Care</v>
      </c>
    </row>
    <row r="1551" spans="1:10" x14ac:dyDescent="0.35">
      <c r="A1551" t="str">
        <f t="shared" si="257"/>
        <v>NOV</v>
      </c>
      <c r="B1551" t="str">
        <f t="shared" si="266"/>
        <v>20</v>
      </c>
      <c r="C1551" t="str">
        <f t="shared" si="267"/>
        <v>2020/21</v>
      </c>
      <c r="D1551" t="str">
        <f t="shared" si="271"/>
        <v>SS SL 114908</v>
      </c>
      <c r="E1551" t="str">
        <f t="shared" si="268"/>
        <v>SS</v>
      </c>
      <c r="F1551" t="s">
        <v>25</v>
      </c>
      <c r="G1551" t="s">
        <v>22</v>
      </c>
      <c r="H1551">
        <v>4259.3999999999996</v>
      </c>
      <c r="I1551" t="str">
        <f t="shared" si="264"/>
        <v>Possabilities CIC</v>
      </c>
      <c r="J1551" t="str">
        <f t="shared" si="272"/>
        <v>Oakhill Lodge (Possibilities) Voluntary Associations Agency And Contracted Services Supported Living Adult Health &amp; Social Care</v>
      </c>
    </row>
    <row r="1552" spans="1:10" x14ac:dyDescent="0.35">
      <c r="A1552" t="str">
        <f t="shared" si="257"/>
        <v>NOV</v>
      </c>
      <c r="B1552" t="str">
        <f t="shared" si="266"/>
        <v>20</v>
      </c>
      <c r="C1552" t="str">
        <f t="shared" si="267"/>
        <v>2020/21</v>
      </c>
      <c r="D1552" t="str">
        <f t="shared" si="271"/>
        <v>SS SL 114908</v>
      </c>
      <c r="E1552" t="str">
        <f t="shared" si="268"/>
        <v>SS</v>
      </c>
      <c r="F1552" t="s">
        <v>25</v>
      </c>
      <c r="G1552" t="s">
        <v>22</v>
      </c>
      <c r="H1552">
        <v>2565.52</v>
      </c>
      <c r="I1552" t="str">
        <f t="shared" si="264"/>
        <v>Possabilities CIC</v>
      </c>
      <c r="J1552" t="str">
        <f t="shared" si="272"/>
        <v>Oakhill Lodge (Possibilities) Voluntary Associations Agency And Contracted Services Supported Living Adult Health &amp; Social Care</v>
      </c>
    </row>
    <row r="1553" spans="1:10" x14ac:dyDescent="0.35">
      <c r="A1553" t="str">
        <f t="shared" si="257"/>
        <v>NOV</v>
      </c>
      <c r="B1553" t="str">
        <f t="shared" si="266"/>
        <v>20</v>
      </c>
      <c r="C1553" t="str">
        <f t="shared" si="267"/>
        <v>2020/21</v>
      </c>
      <c r="D1553" t="str">
        <f>"SS SL 114110"</f>
        <v>SS SL 114110</v>
      </c>
      <c r="E1553" t="str">
        <f t="shared" si="268"/>
        <v>SS</v>
      </c>
      <c r="F1553" t="s">
        <v>25</v>
      </c>
      <c r="G1553" t="s">
        <v>22</v>
      </c>
      <c r="H1553">
        <v>2213.48</v>
      </c>
      <c r="I1553" t="str">
        <f>"Turning Point Scotland Services"</f>
        <v>Turning Point Scotland Services</v>
      </c>
      <c r="J1553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1554" spans="1:10" x14ac:dyDescent="0.35">
      <c r="A1554" t="str">
        <f t="shared" si="257"/>
        <v>NOV</v>
      </c>
      <c r="B1554" t="str">
        <f t="shared" si="266"/>
        <v>20</v>
      </c>
      <c r="C1554" t="str">
        <f t="shared" si="267"/>
        <v>2020/21</v>
      </c>
      <c r="D1554" t="str">
        <f t="shared" ref="D1554:D1565" si="273">"SS SL 114846"</f>
        <v>SS SL 114846</v>
      </c>
      <c r="E1554" t="str">
        <f t="shared" si="268"/>
        <v>SS</v>
      </c>
      <c r="F1554" t="s">
        <v>25</v>
      </c>
      <c r="G1554" t="s">
        <v>22</v>
      </c>
      <c r="H1554">
        <v>2622.8</v>
      </c>
      <c r="I1554" t="str">
        <f t="shared" ref="I1554:I1565" si="274">"The Mayfield Trust"</f>
        <v>The Mayfield Trust</v>
      </c>
      <c r="J1554" t="str">
        <f t="shared" ref="J1554:J1565" si="275"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1555" spans="1:10" x14ac:dyDescent="0.35">
      <c r="A1555" t="str">
        <f t="shared" si="257"/>
        <v>NOV</v>
      </c>
      <c r="B1555" t="str">
        <f t="shared" si="266"/>
        <v>20</v>
      </c>
      <c r="C1555" t="str">
        <f t="shared" si="267"/>
        <v>2020/21</v>
      </c>
      <c r="D1555" t="str">
        <f t="shared" si="273"/>
        <v>SS SL 114846</v>
      </c>
      <c r="E1555" t="str">
        <f t="shared" si="268"/>
        <v>SS</v>
      </c>
      <c r="F1555" t="s">
        <v>25</v>
      </c>
      <c r="G1555" t="s">
        <v>22</v>
      </c>
      <c r="H1555">
        <v>1826</v>
      </c>
      <c r="I1555" t="str">
        <f t="shared" si="274"/>
        <v>The Mayfield Trust</v>
      </c>
      <c r="J1555" t="str">
        <f t="shared" si="275"/>
        <v>Pye Nest Road (Mayfield Trust) Private Contractors Agency And Contracted Services Supported Living Adult Health &amp; Social Care</v>
      </c>
    </row>
    <row r="1556" spans="1:10" x14ac:dyDescent="0.35">
      <c r="A1556" t="str">
        <f t="shared" ref="A1556:A1619" si="276">"NOV"</f>
        <v>NOV</v>
      </c>
      <c r="B1556" t="str">
        <f t="shared" si="266"/>
        <v>20</v>
      </c>
      <c r="C1556" t="str">
        <f t="shared" si="267"/>
        <v>2020/21</v>
      </c>
      <c r="D1556" t="str">
        <f t="shared" si="273"/>
        <v>SS SL 114846</v>
      </c>
      <c r="E1556" t="str">
        <f t="shared" si="268"/>
        <v>SS</v>
      </c>
      <c r="F1556" t="s">
        <v>25</v>
      </c>
      <c r="G1556" t="s">
        <v>22</v>
      </c>
      <c r="H1556">
        <v>2921.6</v>
      </c>
      <c r="I1556" t="str">
        <f t="shared" si="274"/>
        <v>The Mayfield Trust</v>
      </c>
      <c r="J1556" t="str">
        <f t="shared" si="275"/>
        <v>Pye Nest Road (Mayfield Trust) Private Contractors Agency And Contracted Services Supported Living Adult Health &amp; Social Care</v>
      </c>
    </row>
    <row r="1557" spans="1:10" x14ac:dyDescent="0.35">
      <c r="A1557" t="str">
        <f t="shared" si="276"/>
        <v>NOV</v>
      </c>
      <c r="B1557" t="str">
        <f t="shared" si="266"/>
        <v>20</v>
      </c>
      <c r="C1557" t="str">
        <f t="shared" si="267"/>
        <v>2020/21</v>
      </c>
      <c r="D1557" t="str">
        <f t="shared" si="273"/>
        <v>SS SL 114846</v>
      </c>
      <c r="E1557" t="str">
        <f t="shared" si="268"/>
        <v>SS</v>
      </c>
      <c r="F1557" t="s">
        <v>25</v>
      </c>
      <c r="G1557" t="s">
        <v>22</v>
      </c>
      <c r="H1557">
        <v>2921.6</v>
      </c>
      <c r="I1557" t="str">
        <f t="shared" si="274"/>
        <v>The Mayfield Trust</v>
      </c>
      <c r="J1557" t="str">
        <f t="shared" si="275"/>
        <v>Pye Nest Road (Mayfield Trust) Private Contractors Agency And Contracted Services Supported Living Adult Health &amp; Social Care</v>
      </c>
    </row>
    <row r="1558" spans="1:10" x14ac:dyDescent="0.35">
      <c r="A1558" t="str">
        <f t="shared" si="276"/>
        <v>NOV</v>
      </c>
      <c r="B1558" t="str">
        <f t="shared" si="266"/>
        <v>20</v>
      </c>
      <c r="C1558" t="str">
        <f t="shared" si="267"/>
        <v>2020/21</v>
      </c>
      <c r="D1558" t="str">
        <f t="shared" si="273"/>
        <v>SS SL 114846</v>
      </c>
      <c r="E1558" t="str">
        <f t="shared" si="268"/>
        <v>SS</v>
      </c>
      <c r="F1558" t="s">
        <v>25</v>
      </c>
      <c r="G1558" t="s">
        <v>22</v>
      </c>
      <c r="H1558">
        <v>2284.8000000000002</v>
      </c>
      <c r="I1558" t="str">
        <f t="shared" si="274"/>
        <v>The Mayfield Trust</v>
      </c>
      <c r="J1558" t="str">
        <f t="shared" si="275"/>
        <v>Pye Nest Road (Mayfield Trust) Private Contractors Agency And Contracted Services Supported Living Adult Health &amp; Social Care</v>
      </c>
    </row>
    <row r="1559" spans="1:10" x14ac:dyDescent="0.35">
      <c r="A1559" t="str">
        <f t="shared" si="276"/>
        <v>NOV</v>
      </c>
      <c r="B1559" t="str">
        <f t="shared" si="266"/>
        <v>20</v>
      </c>
      <c r="C1559" t="str">
        <f t="shared" si="267"/>
        <v>2020/21</v>
      </c>
      <c r="D1559" t="str">
        <f t="shared" si="273"/>
        <v>SS SL 114846</v>
      </c>
      <c r="E1559" t="str">
        <f t="shared" si="268"/>
        <v>SS</v>
      </c>
      <c r="F1559" t="s">
        <v>25</v>
      </c>
      <c r="G1559" t="s">
        <v>22</v>
      </c>
      <c r="H1559">
        <v>2556.4</v>
      </c>
      <c r="I1559" t="str">
        <f t="shared" si="274"/>
        <v>The Mayfield Trust</v>
      </c>
      <c r="J1559" t="str">
        <f t="shared" si="275"/>
        <v>Pye Nest Road (Mayfield Trust) Private Contractors Agency And Contracted Services Supported Living Adult Health &amp; Social Care</v>
      </c>
    </row>
    <row r="1560" spans="1:10" x14ac:dyDescent="0.35">
      <c r="A1560" t="str">
        <f t="shared" si="276"/>
        <v>NOV</v>
      </c>
      <c r="B1560" t="str">
        <f t="shared" si="266"/>
        <v>20</v>
      </c>
      <c r="C1560" t="str">
        <f t="shared" si="267"/>
        <v>2020/21</v>
      </c>
      <c r="D1560" t="str">
        <f t="shared" si="273"/>
        <v>SS SL 114846</v>
      </c>
      <c r="E1560" t="str">
        <f t="shared" si="268"/>
        <v>SS</v>
      </c>
      <c r="F1560" t="s">
        <v>25</v>
      </c>
      <c r="G1560" t="s">
        <v>22</v>
      </c>
      <c r="H1560">
        <v>2556.4</v>
      </c>
      <c r="I1560" t="str">
        <f t="shared" si="274"/>
        <v>The Mayfield Trust</v>
      </c>
      <c r="J1560" t="str">
        <f t="shared" si="275"/>
        <v>Pye Nest Road (Mayfield Trust) Private Contractors Agency And Contracted Services Supported Living Adult Health &amp; Social Care</v>
      </c>
    </row>
    <row r="1561" spans="1:10" x14ac:dyDescent="0.35">
      <c r="A1561" t="str">
        <f t="shared" si="276"/>
        <v>NOV</v>
      </c>
      <c r="B1561" t="str">
        <f t="shared" si="266"/>
        <v>20</v>
      </c>
      <c r="C1561" t="str">
        <f t="shared" si="267"/>
        <v>2020/21</v>
      </c>
      <c r="D1561" t="str">
        <f t="shared" si="273"/>
        <v>SS SL 114846</v>
      </c>
      <c r="E1561" t="str">
        <f t="shared" si="268"/>
        <v>SS</v>
      </c>
      <c r="F1561" t="s">
        <v>25</v>
      </c>
      <c r="G1561" t="s">
        <v>22</v>
      </c>
      <c r="H1561">
        <v>1826</v>
      </c>
      <c r="I1561" t="str">
        <f t="shared" si="274"/>
        <v>The Mayfield Trust</v>
      </c>
      <c r="J1561" t="str">
        <f t="shared" si="275"/>
        <v>Pye Nest Road (Mayfield Trust) Private Contractors Agency And Contracted Services Supported Living Adult Health &amp; Social Care</v>
      </c>
    </row>
    <row r="1562" spans="1:10" x14ac:dyDescent="0.35">
      <c r="A1562" t="str">
        <f t="shared" si="276"/>
        <v>NOV</v>
      </c>
      <c r="B1562" t="str">
        <f t="shared" si="266"/>
        <v>20</v>
      </c>
      <c r="C1562" t="str">
        <f t="shared" si="267"/>
        <v>2020/21</v>
      </c>
      <c r="D1562" t="str">
        <f t="shared" si="273"/>
        <v>SS SL 114846</v>
      </c>
      <c r="E1562" t="str">
        <f t="shared" si="268"/>
        <v>SS</v>
      </c>
      <c r="F1562" t="s">
        <v>25</v>
      </c>
      <c r="G1562" t="s">
        <v>22</v>
      </c>
      <c r="H1562">
        <v>2622.8</v>
      </c>
      <c r="I1562" t="str">
        <f t="shared" si="274"/>
        <v>The Mayfield Trust</v>
      </c>
      <c r="J1562" t="str">
        <f t="shared" si="275"/>
        <v>Pye Nest Road (Mayfield Trust) Private Contractors Agency And Contracted Services Supported Living Adult Health &amp; Social Care</v>
      </c>
    </row>
    <row r="1563" spans="1:10" x14ac:dyDescent="0.35">
      <c r="A1563" t="str">
        <f t="shared" si="276"/>
        <v>NOV</v>
      </c>
      <c r="B1563" t="str">
        <f t="shared" si="266"/>
        <v>20</v>
      </c>
      <c r="C1563" t="str">
        <f t="shared" si="267"/>
        <v>2020/21</v>
      </c>
      <c r="D1563" t="str">
        <f t="shared" si="273"/>
        <v>SS SL 114846</v>
      </c>
      <c r="E1563" t="str">
        <f t="shared" si="268"/>
        <v>SS</v>
      </c>
      <c r="F1563" t="s">
        <v>25</v>
      </c>
      <c r="G1563" t="s">
        <v>22</v>
      </c>
      <c r="H1563">
        <v>2284.8000000000002</v>
      </c>
      <c r="I1563" t="str">
        <f t="shared" si="274"/>
        <v>The Mayfield Trust</v>
      </c>
      <c r="J1563" t="str">
        <f t="shared" si="275"/>
        <v>Pye Nest Road (Mayfield Trust) Private Contractors Agency And Contracted Services Supported Living Adult Health &amp; Social Care</v>
      </c>
    </row>
    <row r="1564" spans="1:10" x14ac:dyDescent="0.35">
      <c r="A1564" t="str">
        <f t="shared" si="276"/>
        <v>NOV</v>
      </c>
      <c r="B1564" t="str">
        <f t="shared" si="266"/>
        <v>20</v>
      </c>
      <c r="C1564" t="str">
        <f t="shared" si="267"/>
        <v>2020/21</v>
      </c>
      <c r="D1564" t="str">
        <f t="shared" si="273"/>
        <v>SS SL 114846</v>
      </c>
      <c r="E1564" t="str">
        <f t="shared" si="268"/>
        <v>SS</v>
      </c>
      <c r="F1564" t="s">
        <v>25</v>
      </c>
      <c r="G1564" t="s">
        <v>22</v>
      </c>
      <c r="H1564">
        <v>2921.6</v>
      </c>
      <c r="I1564" t="str">
        <f t="shared" si="274"/>
        <v>The Mayfield Trust</v>
      </c>
      <c r="J1564" t="str">
        <f t="shared" si="275"/>
        <v>Pye Nest Road (Mayfield Trust) Private Contractors Agency And Contracted Services Supported Living Adult Health &amp; Social Care</v>
      </c>
    </row>
    <row r="1565" spans="1:10" x14ac:dyDescent="0.35">
      <c r="A1565" t="str">
        <f t="shared" si="276"/>
        <v>NOV</v>
      </c>
      <c r="B1565" t="str">
        <f t="shared" si="266"/>
        <v>20</v>
      </c>
      <c r="C1565" t="str">
        <f t="shared" si="267"/>
        <v>2020/21</v>
      </c>
      <c r="D1565" t="str">
        <f t="shared" si="273"/>
        <v>SS SL 114846</v>
      </c>
      <c r="E1565" t="str">
        <f t="shared" si="268"/>
        <v>SS</v>
      </c>
      <c r="F1565" t="s">
        <v>25</v>
      </c>
      <c r="G1565" t="s">
        <v>22</v>
      </c>
      <c r="H1565">
        <v>2921.6</v>
      </c>
      <c r="I1565" t="str">
        <f t="shared" si="274"/>
        <v>The Mayfield Trust</v>
      </c>
      <c r="J1565" t="str">
        <f t="shared" si="275"/>
        <v>Pye Nest Road (Mayfield Trust) Private Contractors Agency And Contracted Services Supported Living Adult Health &amp; Social Care</v>
      </c>
    </row>
    <row r="1566" spans="1:10" x14ac:dyDescent="0.35">
      <c r="A1566" t="str">
        <f t="shared" si="276"/>
        <v>NOV</v>
      </c>
      <c r="B1566" t="str">
        <f t="shared" si="266"/>
        <v>20</v>
      </c>
      <c r="C1566" t="str">
        <f t="shared" si="267"/>
        <v>2020/21</v>
      </c>
      <c r="D1566" t="str">
        <f>"SS SL 114881"</f>
        <v>SS SL 114881</v>
      </c>
      <c r="E1566" t="str">
        <f t="shared" si="268"/>
        <v>SS</v>
      </c>
      <c r="F1566" t="s">
        <v>25</v>
      </c>
      <c r="G1566" t="s">
        <v>22</v>
      </c>
      <c r="H1566">
        <v>10309.450000000001</v>
      </c>
      <c r="I1566" t="str">
        <f>"Creative Support Ltd"</f>
        <v>Creative Support Ltd</v>
      </c>
      <c r="J1566" t="str">
        <f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1567" spans="1:10" x14ac:dyDescent="0.35">
      <c r="A1567" t="str">
        <f t="shared" si="276"/>
        <v>NOV</v>
      </c>
      <c r="B1567" t="str">
        <f t="shared" si="266"/>
        <v>20</v>
      </c>
      <c r="C1567" t="str">
        <f t="shared" si="267"/>
        <v>2020/21</v>
      </c>
      <c r="D1567" t="str">
        <f>"SS SL 114881"</f>
        <v>SS SL 114881</v>
      </c>
      <c r="E1567" t="str">
        <f t="shared" si="268"/>
        <v>SS</v>
      </c>
      <c r="F1567" t="s">
        <v>25</v>
      </c>
      <c r="G1567" t="s">
        <v>22</v>
      </c>
      <c r="H1567">
        <v>22260.6</v>
      </c>
      <c r="I1567" t="str">
        <f>"Creative Support Ltd"</f>
        <v>Creative Support Ltd</v>
      </c>
      <c r="J1567" t="str">
        <f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1568" spans="1:10" x14ac:dyDescent="0.35">
      <c r="A1568" t="str">
        <f t="shared" si="276"/>
        <v>NOV</v>
      </c>
      <c r="B1568" t="str">
        <f t="shared" si="266"/>
        <v>20</v>
      </c>
      <c r="C1568" t="str">
        <f t="shared" si="267"/>
        <v>2020/21</v>
      </c>
      <c r="D1568" t="str">
        <f>"SS SL 114904"</f>
        <v>SS SL 114904</v>
      </c>
      <c r="E1568" t="str">
        <f t="shared" si="268"/>
        <v>SS</v>
      </c>
      <c r="F1568" t="s">
        <v>25</v>
      </c>
      <c r="G1568" t="s">
        <v>22</v>
      </c>
      <c r="H1568">
        <v>3139.81</v>
      </c>
      <c r="I1568" t="str">
        <f t="shared" ref="I1568:I1588" si="277">"Future Directions CIC"</f>
        <v>Future Directions CIC</v>
      </c>
      <c r="J1568" t="str">
        <f t="shared" ref="J1568:J1588" si="278"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1569" spans="1:10" x14ac:dyDescent="0.35">
      <c r="A1569" t="str">
        <f t="shared" si="276"/>
        <v>NOV</v>
      </c>
      <c r="B1569" t="str">
        <f t="shared" si="266"/>
        <v>20</v>
      </c>
      <c r="C1569" t="str">
        <f t="shared" si="267"/>
        <v>2020/21</v>
      </c>
      <c r="D1569" t="str">
        <f>"SS SL 114904"</f>
        <v>SS SL 114904</v>
      </c>
      <c r="E1569" t="str">
        <f t="shared" si="268"/>
        <v>SS</v>
      </c>
      <c r="F1569" t="s">
        <v>25</v>
      </c>
      <c r="G1569" t="s">
        <v>22</v>
      </c>
      <c r="H1569">
        <v>571.20000000000005</v>
      </c>
      <c r="I1569" t="str">
        <f t="shared" si="277"/>
        <v>Future Directions CIC</v>
      </c>
      <c r="J1569" t="str">
        <f t="shared" si="278"/>
        <v>Endeavour House (Future Directions) Private Contractors Agency And Contracted Services Supported Living Adult Health &amp; Social Care</v>
      </c>
    </row>
    <row r="1570" spans="1:10" x14ac:dyDescent="0.35">
      <c r="A1570" t="str">
        <f t="shared" si="276"/>
        <v>NOV</v>
      </c>
      <c r="B1570" t="str">
        <f t="shared" si="266"/>
        <v>20</v>
      </c>
      <c r="C1570" t="str">
        <f t="shared" si="267"/>
        <v>2020/21</v>
      </c>
      <c r="D1570" t="str">
        <f>"SS SL 114904"</f>
        <v>SS SL 114904</v>
      </c>
      <c r="E1570" t="str">
        <f t="shared" si="268"/>
        <v>SS</v>
      </c>
      <c r="F1570" t="s">
        <v>25</v>
      </c>
      <c r="G1570" t="s">
        <v>22</v>
      </c>
      <c r="H1570">
        <v>-2.41</v>
      </c>
      <c r="I1570" t="str">
        <f t="shared" si="277"/>
        <v>Future Directions CIC</v>
      </c>
      <c r="J1570" t="str">
        <f t="shared" si="278"/>
        <v>Endeavour House (Future Directions) Private Contractors Agency And Contracted Services Supported Living Adult Health &amp; Social Care</v>
      </c>
    </row>
    <row r="1571" spans="1:10" x14ac:dyDescent="0.35">
      <c r="A1571" t="str">
        <f t="shared" si="276"/>
        <v>NOV</v>
      </c>
      <c r="B1571" t="str">
        <f t="shared" si="266"/>
        <v>20</v>
      </c>
      <c r="C1571" t="str">
        <f t="shared" si="267"/>
        <v>2020/21</v>
      </c>
      <c r="D1571" t="str">
        <f>"SS SL 114906"</f>
        <v>SS SL 114906</v>
      </c>
      <c r="E1571" t="str">
        <f t="shared" si="268"/>
        <v>SS</v>
      </c>
      <c r="F1571" t="s">
        <v>25</v>
      </c>
      <c r="G1571" t="s">
        <v>22</v>
      </c>
      <c r="H1571">
        <v>664</v>
      </c>
      <c r="I1571" t="str">
        <f t="shared" si="277"/>
        <v>Future Directions CIC</v>
      </c>
      <c r="J1571" t="str">
        <f t="shared" si="278"/>
        <v>Endeavour House (Future Directions) Private Contractors Agency And Contracted Services Supported Living Adult Health &amp; Social Care</v>
      </c>
    </row>
    <row r="1572" spans="1:10" x14ac:dyDescent="0.35">
      <c r="A1572" t="str">
        <f t="shared" si="276"/>
        <v>NOV</v>
      </c>
      <c r="B1572" t="str">
        <f t="shared" si="266"/>
        <v>20</v>
      </c>
      <c r="C1572" t="str">
        <f t="shared" si="267"/>
        <v>2020/21</v>
      </c>
      <c r="D1572" t="str">
        <f>"SS SL 114906"</f>
        <v>SS SL 114906</v>
      </c>
      <c r="E1572" t="str">
        <f t="shared" si="268"/>
        <v>SS</v>
      </c>
      <c r="F1572" t="s">
        <v>25</v>
      </c>
      <c r="G1572" t="s">
        <v>22</v>
      </c>
      <c r="H1572">
        <v>498</v>
      </c>
      <c r="I1572" t="str">
        <f t="shared" si="277"/>
        <v>Future Directions CIC</v>
      </c>
      <c r="J1572" t="str">
        <f t="shared" si="278"/>
        <v>Endeavour House (Future Directions) Private Contractors Agency And Contracted Services Supported Living Adult Health &amp; Social Care</v>
      </c>
    </row>
    <row r="1573" spans="1:10" x14ac:dyDescent="0.35">
      <c r="A1573" t="str">
        <f t="shared" si="276"/>
        <v>NOV</v>
      </c>
      <c r="B1573" t="str">
        <f t="shared" si="266"/>
        <v>20</v>
      </c>
      <c r="C1573" t="str">
        <f t="shared" si="267"/>
        <v>2020/21</v>
      </c>
      <c r="D1573" t="str">
        <f>"SS SL 114906"</f>
        <v>SS SL 114906</v>
      </c>
      <c r="E1573" t="str">
        <f t="shared" si="268"/>
        <v>SS</v>
      </c>
      <c r="F1573" t="s">
        <v>25</v>
      </c>
      <c r="G1573" t="s">
        <v>22</v>
      </c>
      <c r="H1573">
        <v>996</v>
      </c>
      <c r="I1573" t="str">
        <f t="shared" si="277"/>
        <v>Future Directions CIC</v>
      </c>
      <c r="J1573" t="str">
        <f t="shared" si="278"/>
        <v>Endeavour House (Future Directions) Private Contractors Agency And Contracted Services Supported Living Adult Health &amp; Social Care</v>
      </c>
    </row>
    <row r="1574" spans="1:10" x14ac:dyDescent="0.35">
      <c r="A1574" t="str">
        <f t="shared" si="276"/>
        <v>NOV</v>
      </c>
      <c r="B1574" t="str">
        <f t="shared" si="266"/>
        <v>20</v>
      </c>
      <c r="C1574" t="str">
        <f t="shared" si="267"/>
        <v>2020/21</v>
      </c>
      <c r="D1574" t="str">
        <f>"SS SL 114906"</f>
        <v>SS SL 114906</v>
      </c>
      <c r="E1574" t="str">
        <f t="shared" si="268"/>
        <v>SS</v>
      </c>
      <c r="F1574" t="s">
        <v>25</v>
      </c>
      <c r="G1574" t="s">
        <v>22</v>
      </c>
      <c r="H1574">
        <v>265.60000000000002</v>
      </c>
      <c r="I1574" t="str">
        <f t="shared" si="277"/>
        <v>Future Directions CIC</v>
      </c>
      <c r="J1574" t="str">
        <f t="shared" si="278"/>
        <v>Endeavour House (Future Directions) Private Contractors Agency And Contracted Services Supported Living Adult Health &amp; Social Care</v>
      </c>
    </row>
    <row r="1575" spans="1:10" x14ac:dyDescent="0.35">
      <c r="A1575" t="str">
        <f t="shared" si="276"/>
        <v>NOV</v>
      </c>
      <c r="B1575" t="str">
        <f t="shared" si="266"/>
        <v>20</v>
      </c>
      <c r="C1575" t="str">
        <f t="shared" si="267"/>
        <v>2020/21</v>
      </c>
      <c r="D1575" t="str">
        <f>"SS SL 114904"</f>
        <v>SS SL 114904</v>
      </c>
      <c r="E1575" t="str">
        <f t="shared" si="268"/>
        <v>SS</v>
      </c>
      <c r="F1575" t="s">
        <v>25</v>
      </c>
      <c r="G1575" t="s">
        <v>22</v>
      </c>
      <c r="H1575">
        <v>571.20000000000005</v>
      </c>
      <c r="I1575" t="str">
        <f t="shared" si="277"/>
        <v>Future Directions CIC</v>
      </c>
      <c r="J1575" t="str">
        <f t="shared" si="278"/>
        <v>Endeavour House (Future Directions) Private Contractors Agency And Contracted Services Supported Living Adult Health &amp; Social Care</v>
      </c>
    </row>
    <row r="1576" spans="1:10" x14ac:dyDescent="0.35">
      <c r="A1576" t="str">
        <f t="shared" si="276"/>
        <v>NOV</v>
      </c>
      <c r="B1576" t="str">
        <f t="shared" si="266"/>
        <v>20</v>
      </c>
      <c r="C1576" t="str">
        <f t="shared" si="267"/>
        <v>2020/21</v>
      </c>
      <c r="D1576" t="str">
        <f>"SS SL 114904"</f>
        <v>SS SL 114904</v>
      </c>
      <c r="E1576" t="str">
        <f t="shared" si="268"/>
        <v>SS</v>
      </c>
      <c r="F1576" t="s">
        <v>25</v>
      </c>
      <c r="G1576" t="s">
        <v>22</v>
      </c>
      <c r="H1576">
        <v>2556.4</v>
      </c>
      <c r="I1576" t="str">
        <f t="shared" si="277"/>
        <v>Future Directions CIC</v>
      </c>
      <c r="J1576" t="str">
        <f t="shared" si="278"/>
        <v>Endeavour House (Future Directions) Private Contractors Agency And Contracted Services Supported Living Adult Health &amp; Social Care</v>
      </c>
    </row>
    <row r="1577" spans="1:10" x14ac:dyDescent="0.35">
      <c r="A1577" t="str">
        <f t="shared" si="276"/>
        <v>NOV</v>
      </c>
      <c r="B1577" t="str">
        <f t="shared" si="266"/>
        <v>20</v>
      </c>
      <c r="C1577" t="str">
        <f t="shared" si="267"/>
        <v>2020/21</v>
      </c>
      <c r="D1577" t="str">
        <f t="shared" ref="D1577:D1582" si="279">"SS SL 114903"</f>
        <v>SS SL 114903</v>
      </c>
      <c r="E1577" t="str">
        <f t="shared" si="268"/>
        <v>SS</v>
      </c>
      <c r="F1577" t="s">
        <v>25</v>
      </c>
      <c r="G1577" t="s">
        <v>22</v>
      </c>
      <c r="H1577">
        <v>2788.8</v>
      </c>
      <c r="I1577" t="str">
        <f t="shared" si="277"/>
        <v>Future Directions CIC</v>
      </c>
      <c r="J1577" t="str">
        <f t="shared" si="278"/>
        <v>Endeavour House (Future Directions) Private Contractors Agency And Contracted Services Supported Living Adult Health &amp; Social Care</v>
      </c>
    </row>
    <row r="1578" spans="1:10" x14ac:dyDescent="0.35">
      <c r="A1578" t="str">
        <f t="shared" si="276"/>
        <v>NOV</v>
      </c>
      <c r="B1578" t="str">
        <f t="shared" si="266"/>
        <v>20</v>
      </c>
      <c r="C1578" t="str">
        <f t="shared" si="267"/>
        <v>2020/21</v>
      </c>
      <c r="D1578" t="str">
        <f t="shared" si="279"/>
        <v>SS SL 114903</v>
      </c>
      <c r="E1578" t="str">
        <f t="shared" si="268"/>
        <v>SS</v>
      </c>
      <c r="F1578" t="s">
        <v>25</v>
      </c>
      <c r="G1578" t="s">
        <v>22</v>
      </c>
      <c r="H1578">
        <v>571.20000000000005</v>
      </c>
      <c r="I1578" t="str">
        <f t="shared" si="277"/>
        <v>Future Directions CIC</v>
      </c>
      <c r="J1578" t="str">
        <f t="shared" si="278"/>
        <v>Endeavour House (Future Directions) Private Contractors Agency And Contracted Services Supported Living Adult Health &amp; Social Care</v>
      </c>
    </row>
    <row r="1579" spans="1:10" x14ac:dyDescent="0.35">
      <c r="A1579" t="str">
        <f t="shared" si="276"/>
        <v>NOV</v>
      </c>
      <c r="B1579" t="str">
        <f t="shared" si="266"/>
        <v>20</v>
      </c>
      <c r="C1579" t="str">
        <f t="shared" si="267"/>
        <v>2020/21</v>
      </c>
      <c r="D1579" t="str">
        <f t="shared" si="279"/>
        <v>SS SL 114903</v>
      </c>
      <c r="E1579" t="str">
        <f t="shared" si="268"/>
        <v>SS</v>
      </c>
      <c r="F1579" t="s">
        <v>25</v>
      </c>
      <c r="G1579" t="s">
        <v>22</v>
      </c>
      <c r="H1579">
        <v>2788.8</v>
      </c>
      <c r="I1579" t="str">
        <f t="shared" si="277"/>
        <v>Future Directions CIC</v>
      </c>
      <c r="J1579" t="str">
        <f t="shared" si="278"/>
        <v>Endeavour House (Future Directions) Private Contractors Agency And Contracted Services Supported Living Adult Health &amp; Social Care</v>
      </c>
    </row>
    <row r="1580" spans="1:10" x14ac:dyDescent="0.35">
      <c r="A1580" t="str">
        <f t="shared" si="276"/>
        <v>NOV</v>
      </c>
      <c r="B1580" t="str">
        <f t="shared" si="266"/>
        <v>20</v>
      </c>
      <c r="C1580" t="str">
        <f t="shared" si="267"/>
        <v>2020/21</v>
      </c>
      <c r="D1580" t="str">
        <f t="shared" si="279"/>
        <v>SS SL 114903</v>
      </c>
      <c r="E1580" t="str">
        <f t="shared" si="268"/>
        <v>SS</v>
      </c>
      <c r="F1580" t="s">
        <v>25</v>
      </c>
      <c r="G1580" t="s">
        <v>22</v>
      </c>
      <c r="H1580">
        <v>571.20000000000005</v>
      </c>
      <c r="I1580" t="str">
        <f t="shared" si="277"/>
        <v>Future Directions CIC</v>
      </c>
      <c r="J1580" t="str">
        <f t="shared" si="278"/>
        <v>Endeavour House (Future Directions) Private Contractors Agency And Contracted Services Supported Living Adult Health &amp; Social Care</v>
      </c>
    </row>
    <row r="1581" spans="1:10" x14ac:dyDescent="0.35">
      <c r="A1581" t="str">
        <f t="shared" si="276"/>
        <v>NOV</v>
      </c>
      <c r="B1581" t="str">
        <f t="shared" si="266"/>
        <v>20</v>
      </c>
      <c r="C1581" t="str">
        <f t="shared" si="267"/>
        <v>2020/21</v>
      </c>
      <c r="D1581" t="str">
        <f t="shared" si="279"/>
        <v>SS SL 114903</v>
      </c>
      <c r="E1581" t="str">
        <f t="shared" si="268"/>
        <v>SS</v>
      </c>
      <c r="F1581" t="s">
        <v>25</v>
      </c>
      <c r="G1581" t="s">
        <v>22</v>
      </c>
      <c r="H1581">
        <v>3137.4</v>
      </c>
      <c r="I1581" t="str">
        <f t="shared" si="277"/>
        <v>Future Directions CIC</v>
      </c>
      <c r="J1581" t="str">
        <f t="shared" si="278"/>
        <v>Endeavour House (Future Directions) Private Contractors Agency And Contracted Services Supported Living Adult Health &amp; Social Care</v>
      </c>
    </row>
    <row r="1582" spans="1:10" x14ac:dyDescent="0.35">
      <c r="A1582" t="str">
        <f t="shared" si="276"/>
        <v>NOV</v>
      </c>
      <c r="B1582" t="str">
        <f t="shared" si="266"/>
        <v>20</v>
      </c>
      <c r="C1582" t="str">
        <f t="shared" si="267"/>
        <v>2020/21</v>
      </c>
      <c r="D1582" t="str">
        <f t="shared" si="279"/>
        <v>SS SL 114903</v>
      </c>
      <c r="E1582" t="str">
        <f t="shared" si="268"/>
        <v>SS</v>
      </c>
      <c r="F1582" t="s">
        <v>25</v>
      </c>
      <c r="G1582" t="s">
        <v>22</v>
      </c>
      <c r="H1582">
        <v>571.20000000000005</v>
      </c>
      <c r="I1582" t="str">
        <f t="shared" si="277"/>
        <v>Future Directions CIC</v>
      </c>
      <c r="J1582" t="str">
        <f t="shared" si="278"/>
        <v>Endeavour House (Future Directions) Private Contractors Agency And Contracted Services Supported Living Adult Health &amp; Social Care</v>
      </c>
    </row>
    <row r="1583" spans="1:10" x14ac:dyDescent="0.35">
      <c r="A1583" t="str">
        <f t="shared" si="276"/>
        <v>NOV</v>
      </c>
      <c r="B1583" t="str">
        <f t="shared" si="266"/>
        <v>20</v>
      </c>
      <c r="C1583" t="str">
        <f t="shared" si="267"/>
        <v>2020/21</v>
      </c>
      <c r="D1583" t="str">
        <f>"SS SL 114904"</f>
        <v>SS SL 114904</v>
      </c>
      <c r="E1583" t="str">
        <f t="shared" si="268"/>
        <v>SS</v>
      </c>
      <c r="F1583" t="s">
        <v>25</v>
      </c>
      <c r="G1583" t="s">
        <v>22</v>
      </c>
      <c r="H1583">
        <v>571.20000000000005</v>
      </c>
      <c r="I1583" t="str">
        <f t="shared" si="277"/>
        <v>Future Directions CIC</v>
      </c>
      <c r="J1583" t="str">
        <f t="shared" si="278"/>
        <v>Endeavour House (Future Directions) Private Contractors Agency And Contracted Services Supported Living Adult Health &amp; Social Care</v>
      </c>
    </row>
    <row r="1584" spans="1:10" x14ac:dyDescent="0.35">
      <c r="A1584" t="str">
        <f t="shared" si="276"/>
        <v>NOV</v>
      </c>
      <c r="B1584" t="str">
        <f t="shared" si="266"/>
        <v>20</v>
      </c>
      <c r="C1584" t="str">
        <f t="shared" si="267"/>
        <v>2020/21</v>
      </c>
      <c r="D1584" t="str">
        <f>"SS SL 114904"</f>
        <v>SS SL 114904</v>
      </c>
      <c r="E1584" t="str">
        <f t="shared" si="268"/>
        <v>SS</v>
      </c>
      <c r="F1584" t="s">
        <v>25</v>
      </c>
      <c r="G1584" t="s">
        <v>22</v>
      </c>
      <c r="H1584">
        <v>3054.4</v>
      </c>
      <c r="I1584" t="str">
        <f t="shared" si="277"/>
        <v>Future Directions CIC</v>
      </c>
      <c r="J1584" t="str">
        <f t="shared" si="278"/>
        <v>Endeavour House (Future Directions) Private Contractors Agency And Contracted Services Supported Living Adult Health &amp; Social Care</v>
      </c>
    </row>
    <row r="1585" spans="1:10" x14ac:dyDescent="0.35">
      <c r="A1585" t="str">
        <f t="shared" si="276"/>
        <v>NOV</v>
      </c>
      <c r="B1585" t="str">
        <f t="shared" si="266"/>
        <v>20</v>
      </c>
      <c r="C1585" t="str">
        <f t="shared" si="267"/>
        <v>2020/21</v>
      </c>
      <c r="D1585" t="str">
        <f>"SS SL 114904"</f>
        <v>SS SL 114904</v>
      </c>
      <c r="E1585" t="str">
        <f t="shared" si="268"/>
        <v>SS</v>
      </c>
      <c r="F1585" t="s">
        <v>25</v>
      </c>
      <c r="G1585" t="s">
        <v>22</v>
      </c>
      <c r="H1585">
        <v>571.20000000000005</v>
      </c>
      <c r="I1585" t="str">
        <f t="shared" si="277"/>
        <v>Future Directions CIC</v>
      </c>
      <c r="J1585" t="str">
        <f t="shared" si="278"/>
        <v>Endeavour House (Future Directions) Private Contractors Agency And Contracted Services Supported Living Adult Health &amp; Social Care</v>
      </c>
    </row>
    <row r="1586" spans="1:10" x14ac:dyDescent="0.35">
      <c r="A1586" t="str">
        <f t="shared" si="276"/>
        <v>NOV</v>
      </c>
      <c r="B1586" t="str">
        <f t="shared" si="266"/>
        <v>20</v>
      </c>
      <c r="C1586" t="str">
        <f t="shared" si="267"/>
        <v>2020/21</v>
      </c>
      <c r="D1586" t="str">
        <f>"SS SL 114904"</f>
        <v>SS SL 114904</v>
      </c>
      <c r="E1586" t="str">
        <f t="shared" si="268"/>
        <v>SS</v>
      </c>
      <c r="F1586" t="s">
        <v>25</v>
      </c>
      <c r="G1586" t="s">
        <v>22</v>
      </c>
      <c r="H1586">
        <v>2158</v>
      </c>
      <c r="I1586" t="str">
        <f t="shared" si="277"/>
        <v>Future Directions CIC</v>
      </c>
      <c r="J1586" t="str">
        <f t="shared" si="278"/>
        <v>Endeavour House (Future Directions) Private Contractors Agency And Contracted Services Supported Living Adult Health &amp; Social Care</v>
      </c>
    </row>
    <row r="1587" spans="1:10" x14ac:dyDescent="0.35">
      <c r="A1587" t="str">
        <f t="shared" si="276"/>
        <v>NOV</v>
      </c>
      <c r="B1587" t="str">
        <f t="shared" si="266"/>
        <v>20</v>
      </c>
      <c r="C1587" t="str">
        <f t="shared" si="267"/>
        <v>2020/21</v>
      </c>
      <c r="D1587" t="str">
        <f>"SS SL 114903"</f>
        <v>SS SL 114903</v>
      </c>
      <c r="E1587" t="str">
        <f t="shared" si="268"/>
        <v>SS</v>
      </c>
      <c r="F1587" t="s">
        <v>25</v>
      </c>
      <c r="G1587" t="s">
        <v>22</v>
      </c>
      <c r="H1587">
        <v>2805.4</v>
      </c>
      <c r="I1587" t="str">
        <f t="shared" si="277"/>
        <v>Future Directions CIC</v>
      </c>
      <c r="J1587" t="str">
        <f t="shared" si="278"/>
        <v>Endeavour House (Future Directions) Private Contractors Agency And Contracted Services Supported Living Adult Health &amp; Social Care</v>
      </c>
    </row>
    <row r="1588" spans="1:10" x14ac:dyDescent="0.35">
      <c r="A1588" t="str">
        <f t="shared" si="276"/>
        <v>NOV</v>
      </c>
      <c r="B1588" t="str">
        <f t="shared" si="266"/>
        <v>20</v>
      </c>
      <c r="C1588" t="str">
        <f t="shared" si="267"/>
        <v>2020/21</v>
      </c>
      <c r="D1588" t="str">
        <f>"SS SL 114903"</f>
        <v>SS SL 114903</v>
      </c>
      <c r="E1588" t="str">
        <f t="shared" si="268"/>
        <v>SS</v>
      </c>
      <c r="F1588" t="s">
        <v>25</v>
      </c>
      <c r="G1588" t="s">
        <v>22</v>
      </c>
      <c r="H1588">
        <v>571.20000000000005</v>
      </c>
      <c r="I1588" t="str">
        <f t="shared" si="277"/>
        <v>Future Directions CIC</v>
      </c>
      <c r="J1588" t="str">
        <f t="shared" si="278"/>
        <v>Endeavour House (Future Directions) Private Contractors Agency And Contracted Services Supported Living Adult Health &amp; Social Care</v>
      </c>
    </row>
    <row r="1589" spans="1:10" x14ac:dyDescent="0.35">
      <c r="A1589" t="str">
        <f t="shared" si="276"/>
        <v>NOV</v>
      </c>
      <c r="B1589" t="str">
        <f t="shared" si="266"/>
        <v>20</v>
      </c>
      <c r="C1589" t="str">
        <f t="shared" si="267"/>
        <v>2020/21</v>
      </c>
      <c r="D1589" t="str">
        <f t="shared" ref="D1589:D1606" si="280">"SS SL 114847"</f>
        <v>SS SL 114847</v>
      </c>
      <c r="E1589" t="str">
        <f t="shared" si="268"/>
        <v>SS</v>
      </c>
      <c r="F1589" t="s">
        <v>25</v>
      </c>
      <c r="G1589" t="s">
        <v>22</v>
      </c>
      <c r="H1589">
        <v>2390.4</v>
      </c>
      <c r="I1589" t="str">
        <f t="shared" ref="I1589:I1606" si="281">"The Mayfield Trust"</f>
        <v>The Mayfield Trust</v>
      </c>
      <c r="J1589" t="str">
        <f t="shared" ref="J1589:J1606" si="282"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1590" spans="1:10" x14ac:dyDescent="0.35">
      <c r="A1590" t="str">
        <f t="shared" si="276"/>
        <v>NOV</v>
      </c>
      <c r="B1590" t="str">
        <f t="shared" si="266"/>
        <v>20</v>
      </c>
      <c r="C1590" t="str">
        <f t="shared" si="267"/>
        <v>2020/21</v>
      </c>
      <c r="D1590" t="str">
        <f t="shared" si="280"/>
        <v>SS SL 114847</v>
      </c>
      <c r="E1590" t="str">
        <f t="shared" si="268"/>
        <v>SS</v>
      </c>
      <c r="F1590" t="s">
        <v>25</v>
      </c>
      <c r="G1590" t="s">
        <v>22</v>
      </c>
      <c r="H1590">
        <v>6739.6</v>
      </c>
      <c r="I1590" t="str">
        <f t="shared" si="281"/>
        <v>The Mayfield Trust</v>
      </c>
      <c r="J1590" t="str">
        <f t="shared" si="282"/>
        <v>Dalecroft (Mayfield Trust) Private Contractors Agency And Contracted Services Supported Living Adult Health &amp; Social Care</v>
      </c>
    </row>
    <row r="1591" spans="1:10" x14ac:dyDescent="0.35">
      <c r="A1591" t="str">
        <f t="shared" si="276"/>
        <v>NOV</v>
      </c>
      <c r="B1591" t="str">
        <f t="shared" si="266"/>
        <v>20</v>
      </c>
      <c r="C1591" t="str">
        <f t="shared" si="267"/>
        <v>2020/21</v>
      </c>
      <c r="D1591" t="str">
        <f t="shared" si="280"/>
        <v>SS SL 114847</v>
      </c>
      <c r="E1591" t="str">
        <f t="shared" si="268"/>
        <v>SS</v>
      </c>
      <c r="F1591" t="s">
        <v>25</v>
      </c>
      <c r="G1591" t="s">
        <v>22</v>
      </c>
      <c r="H1591">
        <v>2390.4</v>
      </c>
      <c r="I1591" t="str">
        <f t="shared" si="281"/>
        <v>The Mayfield Trust</v>
      </c>
      <c r="J1591" t="str">
        <f t="shared" si="282"/>
        <v>Dalecroft (Mayfield Trust) Private Contractors Agency And Contracted Services Supported Living Adult Health &amp; Social Care</v>
      </c>
    </row>
    <row r="1592" spans="1:10" x14ac:dyDescent="0.35">
      <c r="A1592" t="str">
        <f t="shared" si="276"/>
        <v>NOV</v>
      </c>
      <c r="B1592" t="str">
        <f t="shared" si="266"/>
        <v>20</v>
      </c>
      <c r="C1592" t="str">
        <f t="shared" si="267"/>
        <v>2020/21</v>
      </c>
      <c r="D1592" t="str">
        <f t="shared" si="280"/>
        <v>SS SL 114847</v>
      </c>
      <c r="E1592" t="str">
        <f t="shared" si="268"/>
        <v>SS</v>
      </c>
      <c r="F1592" t="s">
        <v>25</v>
      </c>
      <c r="G1592" t="s">
        <v>22</v>
      </c>
      <c r="H1592">
        <v>2390.4</v>
      </c>
      <c r="I1592" t="str">
        <f t="shared" si="281"/>
        <v>The Mayfield Trust</v>
      </c>
      <c r="J1592" t="str">
        <f t="shared" si="282"/>
        <v>Dalecroft (Mayfield Trust) Private Contractors Agency And Contracted Services Supported Living Adult Health &amp; Social Care</v>
      </c>
    </row>
    <row r="1593" spans="1:10" x14ac:dyDescent="0.35">
      <c r="A1593" t="str">
        <f t="shared" si="276"/>
        <v>NOV</v>
      </c>
      <c r="B1593" t="str">
        <f t="shared" si="266"/>
        <v>20</v>
      </c>
      <c r="C1593" t="str">
        <f t="shared" si="267"/>
        <v>2020/21</v>
      </c>
      <c r="D1593" t="str">
        <f t="shared" si="280"/>
        <v>SS SL 114847</v>
      </c>
      <c r="E1593" t="str">
        <f t="shared" si="268"/>
        <v>SS</v>
      </c>
      <c r="F1593" t="s">
        <v>25</v>
      </c>
      <c r="G1593" t="s">
        <v>22</v>
      </c>
      <c r="H1593">
        <v>2390.4</v>
      </c>
      <c r="I1593" t="str">
        <f t="shared" si="281"/>
        <v>The Mayfield Trust</v>
      </c>
      <c r="J1593" t="str">
        <f t="shared" si="282"/>
        <v>Dalecroft (Mayfield Trust) Private Contractors Agency And Contracted Services Supported Living Adult Health &amp; Social Care</v>
      </c>
    </row>
    <row r="1594" spans="1:10" x14ac:dyDescent="0.35">
      <c r="A1594" t="str">
        <f t="shared" si="276"/>
        <v>NOV</v>
      </c>
      <c r="B1594" t="str">
        <f t="shared" si="266"/>
        <v>20</v>
      </c>
      <c r="C1594" t="str">
        <f t="shared" si="267"/>
        <v>2020/21</v>
      </c>
      <c r="D1594" t="str">
        <f t="shared" si="280"/>
        <v>SS SL 114847</v>
      </c>
      <c r="E1594" t="str">
        <f t="shared" si="268"/>
        <v>SS</v>
      </c>
      <c r="F1594" t="s">
        <v>25</v>
      </c>
      <c r="G1594" t="s">
        <v>22</v>
      </c>
      <c r="H1594">
        <v>2390.4</v>
      </c>
      <c r="I1594" t="str">
        <f t="shared" si="281"/>
        <v>The Mayfield Trust</v>
      </c>
      <c r="J1594" t="str">
        <f t="shared" si="282"/>
        <v>Dalecroft (Mayfield Trust) Private Contractors Agency And Contracted Services Supported Living Adult Health &amp; Social Care</v>
      </c>
    </row>
    <row r="1595" spans="1:10" x14ac:dyDescent="0.35">
      <c r="A1595" t="str">
        <f t="shared" si="276"/>
        <v>NOV</v>
      </c>
      <c r="B1595" t="str">
        <f t="shared" si="266"/>
        <v>20</v>
      </c>
      <c r="C1595" t="str">
        <f t="shared" si="267"/>
        <v>2020/21</v>
      </c>
      <c r="D1595" t="str">
        <f t="shared" si="280"/>
        <v>SS SL 114847</v>
      </c>
      <c r="E1595" t="str">
        <f t="shared" si="268"/>
        <v>SS</v>
      </c>
      <c r="F1595" t="s">
        <v>25</v>
      </c>
      <c r="G1595" t="s">
        <v>22</v>
      </c>
      <c r="H1595">
        <v>3718.4</v>
      </c>
      <c r="I1595" t="str">
        <f t="shared" si="281"/>
        <v>The Mayfield Trust</v>
      </c>
      <c r="J1595" t="str">
        <f t="shared" si="282"/>
        <v>Dalecroft (Mayfield Trust) Private Contractors Agency And Contracted Services Supported Living Adult Health &amp; Social Care</v>
      </c>
    </row>
    <row r="1596" spans="1:10" x14ac:dyDescent="0.35">
      <c r="A1596" t="str">
        <f t="shared" si="276"/>
        <v>NOV</v>
      </c>
      <c r="B1596" t="str">
        <f t="shared" si="266"/>
        <v>20</v>
      </c>
      <c r="C1596" t="str">
        <f t="shared" si="267"/>
        <v>2020/21</v>
      </c>
      <c r="D1596" t="str">
        <f t="shared" si="280"/>
        <v>SS SL 114847</v>
      </c>
      <c r="E1596" t="str">
        <f t="shared" si="268"/>
        <v>SS</v>
      </c>
      <c r="F1596" t="s">
        <v>25</v>
      </c>
      <c r="G1596" t="s">
        <v>22</v>
      </c>
      <c r="H1596">
        <v>2390.4</v>
      </c>
      <c r="I1596" t="str">
        <f t="shared" si="281"/>
        <v>The Mayfield Trust</v>
      </c>
      <c r="J1596" t="str">
        <f t="shared" si="282"/>
        <v>Dalecroft (Mayfield Trust) Private Contractors Agency And Contracted Services Supported Living Adult Health &amp; Social Care</v>
      </c>
    </row>
    <row r="1597" spans="1:10" x14ac:dyDescent="0.35">
      <c r="A1597" t="str">
        <f t="shared" si="276"/>
        <v>NOV</v>
      </c>
      <c r="B1597" t="str">
        <f t="shared" si="266"/>
        <v>20</v>
      </c>
      <c r="C1597" t="str">
        <f t="shared" si="267"/>
        <v>2020/21</v>
      </c>
      <c r="D1597" t="str">
        <f t="shared" si="280"/>
        <v>SS SL 114847</v>
      </c>
      <c r="E1597" t="str">
        <f t="shared" si="268"/>
        <v>SS</v>
      </c>
      <c r="F1597" t="s">
        <v>25</v>
      </c>
      <c r="G1597" t="s">
        <v>22</v>
      </c>
      <c r="H1597">
        <v>2390.4</v>
      </c>
      <c r="I1597" t="str">
        <f t="shared" si="281"/>
        <v>The Mayfield Trust</v>
      </c>
      <c r="J1597" t="str">
        <f t="shared" si="282"/>
        <v>Dalecroft (Mayfield Trust) Private Contractors Agency And Contracted Services Supported Living Adult Health &amp; Social Care</v>
      </c>
    </row>
    <row r="1598" spans="1:10" x14ac:dyDescent="0.35">
      <c r="A1598" t="str">
        <f t="shared" si="276"/>
        <v>NOV</v>
      </c>
      <c r="B1598" t="str">
        <f t="shared" si="266"/>
        <v>20</v>
      </c>
      <c r="C1598" t="str">
        <f t="shared" si="267"/>
        <v>2020/21</v>
      </c>
      <c r="D1598" t="str">
        <f t="shared" si="280"/>
        <v>SS SL 114847</v>
      </c>
      <c r="E1598" t="str">
        <f t="shared" si="268"/>
        <v>SS</v>
      </c>
      <c r="F1598" t="s">
        <v>25</v>
      </c>
      <c r="G1598" t="s">
        <v>22</v>
      </c>
      <c r="H1598">
        <v>2390.4</v>
      </c>
      <c r="I1598" t="str">
        <f t="shared" si="281"/>
        <v>The Mayfield Trust</v>
      </c>
      <c r="J1598" t="str">
        <f t="shared" si="282"/>
        <v>Dalecroft (Mayfield Trust) Private Contractors Agency And Contracted Services Supported Living Adult Health &amp; Social Care</v>
      </c>
    </row>
    <row r="1599" spans="1:10" x14ac:dyDescent="0.35">
      <c r="A1599" t="str">
        <f t="shared" si="276"/>
        <v>NOV</v>
      </c>
      <c r="B1599" t="str">
        <f t="shared" si="266"/>
        <v>20</v>
      </c>
      <c r="C1599" t="str">
        <f t="shared" si="267"/>
        <v>2020/21</v>
      </c>
      <c r="D1599" t="str">
        <f t="shared" si="280"/>
        <v>SS SL 114847</v>
      </c>
      <c r="E1599" t="str">
        <f t="shared" si="268"/>
        <v>SS</v>
      </c>
      <c r="F1599" t="s">
        <v>25</v>
      </c>
      <c r="G1599" t="s">
        <v>22</v>
      </c>
      <c r="H1599">
        <v>6739.6</v>
      </c>
      <c r="I1599" t="str">
        <f t="shared" si="281"/>
        <v>The Mayfield Trust</v>
      </c>
      <c r="J1599" t="str">
        <f t="shared" si="282"/>
        <v>Dalecroft (Mayfield Trust) Private Contractors Agency And Contracted Services Supported Living Adult Health &amp; Social Care</v>
      </c>
    </row>
    <row r="1600" spans="1:10" x14ac:dyDescent="0.35">
      <c r="A1600" t="str">
        <f t="shared" si="276"/>
        <v>NOV</v>
      </c>
      <c r="B1600" t="str">
        <f t="shared" si="266"/>
        <v>20</v>
      </c>
      <c r="C1600" t="str">
        <f t="shared" si="267"/>
        <v>2020/21</v>
      </c>
      <c r="D1600" t="str">
        <f t="shared" si="280"/>
        <v>SS SL 114847</v>
      </c>
      <c r="E1600" t="str">
        <f t="shared" si="268"/>
        <v>SS</v>
      </c>
      <c r="F1600" t="s">
        <v>25</v>
      </c>
      <c r="G1600" t="s">
        <v>22</v>
      </c>
      <c r="H1600">
        <v>3718.4</v>
      </c>
      <c r="I1600" t="str">
        <f t="shared" si="281"/>
        <v>The Mayfield Trust</v>
      </c>
      <c r="J1600" t="str">
        <f t="shared" si="282"/>
        <v>Dalecroft (Mayfield Trust) Private Contractors Agency And Contracted Services Supported Living Adult Health &amp; Social Care</v>
      </c>
    </row>
    <row r="1601" spans="1:10" x14ac:dyDescent="0.35">
      <c r="A1601" t="str">
        <f t="shared" si="276"/>
        <v>NOV</v>
      </c>
      <c r="B1601" t="str">
        <f t="shared" si="266"/>
        <v>20</v>
      </c>
      <c r="C1601" t="str">
        <f t="shared" si="267"/>
        <v>2020/21</v>
      </c>
      <c r="D1601" t="str">
        <f t="shared" si="280"/>
        <v>SS SL 114847</v>
      </c>
      <c r="E1601" t="str">
        <f t="shared" si="268"/>
        <v>SS</v>
      </c>
      <c r="F1601" t="s">
        <v>25</v>
      </c>
      <c r="G1601" t="s">
        <v>22</v>
      </c>
      <c r="H1601">
        <v>2390.4</v>
      </c>
      <c r="I1601" t="str">
        <f t="shared" si="281"/>
        <v>The Mayfield Trust</v>
      </c>
      <c r="J1601" t="str">
        <f t="shared" si="282"/>
        <v>Dalecroft (Mayfield Trust) Private Contractors Agency And Contracted Services Supported Living Adult Health &amp; Social Care</v>
      </c>
    </row>
    <row r="1602" spans="1:10" x14ac:dyDescent="0.35">
      <c r="A1602" t="str">
        <f t="shared" si="276"/>
        <v>NOV</v>
      </c>
      <c r="B1602" t="str">
        <f t="shared" ref="B1602:B1665" si="283">"20"</f>
        <v>20</v>
      </c>
      <c r="C1602" t="str">
        <f t="shared" ref="C1602:C1665" si="284">"2020/21"</f>
        <v>2020/21</v>
      </c>
      <c r="D1602" t="str">
        <f t="shared" si="280"/>
        <v>SS SL 114847</v>
      </c>
      <c r="E1602" t="str">
        <f t="shared" ref="E1602:E1665" si="285">LEFT(D1602,2)</f>
        <v>SS</v>
      </c>
      <c r="F1602" t="s">
        <v>25</v>
      </c>
      <c r="G1602" t="s">
        <v>22</v>
      </c>
      <c r="H1602">
        <v>2390.4</v>
      </c>
      <c r="I1602" t="str">
        <f t="shared" si="281"/>
        <v>The Mayfield Trust</v>
      </c>
      <c r="J1602" t="str">
        <f t="shared" si="282"/>
        <v>Dalecroft (Mayfield Trust) Private Contractors Agency And Contracted Services Supported Living Adult Health &amp; Social Care</v>
      </c>
    </row>
    <row r="1603" spans="1:10" x14ac:dyDescent="0.35">
      <c r="A1603" t="str">
        <f t="shared" si="276"/>
        <v>NOV</v>
      </c>
      <c r="B1603" t="str">
        <f t="shared" si="283"/>
        <v>20</v>
      </c>
      <c r="C1603" t="str">
        <f t="shared" si="284"/>
        <v>2020/21</v>
      </c>
      <c r="D1603" t="str">
        <f t="shared" si="280"/>
        <v>SS SL 114847</v>
      </c>
      <c r="E1603" t="str">
        <f t="shared" si="285"/>
        <v>SS</v>
      </c>
      <c r="F1603" t="s">
        <v>25</v>
      </c>
      <c r="G1603" t="s">
        <v>22</v>
      </c>
      <c r="H1603">
        <v>1095.6400000000001</v>
      </c>
      <c r="I1603" t="str">
        <f t="shared" si="281"/>
        <v>The Mayfield Trust</v>
      </c>
      <c r="J1603" t="str">
        <f t="shared" si="282"/>
        <v>Dalecroft (Mayfield Trust) Private Contractors Agency And Contracted Services Supported Living Adult Health &amp; Social Care</v>
      </c>
    </row>
    <row r="1604" spans="1:10" x14ac:dyDescent="0.35">
      <c r="A1604" t="str">
        <f t="shared" si="276"/>
        <v>NOV</v>
      </c>
      <c r="B1604" t="str">
        <f t="shared" si="283"/>
        <v>20</v>
      </c>
      <c r="C1604" t="str">
        <f t="shared" si="284"/>
        <v>2020/21</v>
      </c>
      <c r="D1604" t="str">
        <f t="shared" si="280"/>
        <v>SS SL 114847</v>
      </c>
      <c r="E1604" t="str">
        <f t="shared" si="285"/>
        <v>SS</v>
      </c>
      <c r="F1604" t="s">
        <v>25</v>
      </c>
      <c r="G1604" t="s">
        <v>22</v>
      </c>
      <c r="H1604">
        <v>-0.04</v>
      </c>
      <c r="I1604" t="str">
        <f t="shared" si="281"/>
        <v>The Mayfield Trust</v>
      </c>
      <c r="J1604" t="str">
        <f t="shared" si="282"/>
        <v>Dalecroft (Mayfield Trust) Private Contractors Agency And Contracted Services Supported Living Adult Health &amp; Social Care</v>
      </c>
    </row>
    <row r="1605" spans="1:10" x14ac:dyDescent="0.35">
      <c r="A1605" t="str">
        <f t="shared" si="276"/>
        <v>NOV</v>
      </c>
      <c r="B1605" t="str">
        <f t="shared" si="283"/>
        <v>20</v>
      </c>
      <c r="C1605" t="str">
        <f t="shared" si="284"/>
        <v>2020/21</v>
      </c>
      <c r="D1605" t="str">
        <f t="shared" si="280"/>
        <v>SS SL 114847</v>
      </c>
      <c r="E1605" t="str">
        <f t="shared" si="285"/>
        <v>SS</v>
      </c>
      <c r="F1605" t="s">
        <v>25</v>
      </c>
      <c r="G1605" t="s">
        <v>22</v>
      </c>
      <c r="H1605">
        <v>932.26</v>
      </c>
      <c r="I1605" t="str">
        <f t="shared" si="281"/>
        <v>The Mayfield Trust</v>
      </c>
      <c r="J1605" t="str">
        <f t="shared" si="282"/>
        <v>Dalecroft (Mayfield Trust) Private Contractors Agency And Contracted Services Supported Living Adult Health &amp; Social Care</v>
      </c>
    </row>
    <row r="1606" spans="1:10" x14ac:dyDescent="0.35">
      <c r="A1606" t="str">
        <f t="shared" si="276"/>
        <v>NOV</v>
      </c>
      <c r="B1606" t="str">
        <f t="shared" si="283"/>
        <v>20</v>
      </c>
      <c r="C1606" t="str">
        <f t="shared" si="284"/>
        <v>2020/21</v>
      </c>
      <c r="D1606" t="str">
        <f t="shared" si="280"/>
        <v>SS SL 114847</v>
      </c>
      <c r="E1606" t="str">
        <f t="shared" si="285"/>
        <v>SS</v>
      </c>
      <c r="F1606" t="s">
        <v>25</v>
      </c>
      <c r="G1606" t="s">
        <v>22</v>
      </c>
      <c r="H1606">
        <v>-2.66</v>
      </c>
      <c r="I1606" t="str">
        <f t="shared" si="281"/>
        <v>The Mayfield Trust</v>
      </c>
      <c r="J1606" t="str">
        <f t="shared" si="282"/>
        <v>Dalecroft (Mayfield Trust) Private Contractors Agency And Contracted Services Supported Living Adult Health &amp; Social Care</v>
      </c>
    </row>
    <row r="1607" spans="1:10" x14ac:dyDescent="0.35">
      <c r="A1607" t="str">
        <f t="shared" si="276"/>
        <v>NOV</v>
      </c>
      <c r="B1607" t="str">
        <f t="shared" si="283"/>
        <v>20</v>
      </c>
      <c r="C1607" t="str">
        <f t="shared" si="284"/>
        <v>2020/21</v>
      </c>
      <c r="D1607" t="str">
        <f>"SS SL 114884"</f>
        <v>SS SL 114884</v>
      </c>
      <c r="E1607" t="str">
        <f t="shared" si="285"/>
        <v>SS</v>
      </c>
      <c r="F1607" t="s">
        <v>25</v>
      </c>
      <c r="G1607" t="s">
        <v>22</v>
      </c>
      <c r="H1607">
        <v>-4.9800000000000004</v>
      </c>
      <c r="I1607" t="str">
        <f>"Creative Support Ltd"</f>
        <v>Creative Support Ltd</v>
      </c>
      <c r="J1607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608" spans="1:10" x14ac:dyDescent="0.35">
      <c r="A1608" t="str">
        <f t="shared" si="276"/>
        <v>NOV</v>
      </c>
      <c r="B1608" t="str">
        <f t="shared" si="283"/>
        <v>20</v>
      </c>
      <c r="C1608" t="str">
        <f t="shared" si="284"/>
        <v>2020/21</v>
      </c>
      <c r="D1608" t="str">
        <f>"SS SL 114884"</f>
        <v>SS SL 114884</v>
      </c>
      <c r="E1608" t="str">
        <f t="shared" si="285"/>
        <v>SS</v>
      </c>
      <c r="F1608" t="s">
        <v>25</v>
      </c>
      <c r="G1608" t="s">
        <v>22</v>
      </c>
      <c r="H1608">
        <v>2284.8000000000002</v>
      </c>
      <c r="I1608" t="str">
        <f>"Creative Support Ltd"</f>
        <v>Creative Support Ltd</v>
      </c>
      <c r="J1608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609" spans="1:10" x14ac:dyDescent="0.35">
      <c r="A1609" t="str">
        <f t="shared" si="276"/>
        <v>NOV</v>
      </c>
      <c r="B1609" t="str">
        <f t="shared" si="283"/>
        <v>20</v>
      </c>
      <c r="C1609" t="str">
        <f t="shared" si="284"/>
        <v>2020/21</v>
      </c>
      <c r="D1609" t="str">
        <f>"SS SL 114884"</f>
        <v>SS SL 114884</v>
      </c>
      <c r="E1609" t="str">
        <f t="shared" si="285"/>
        <v>SS</v>
      </c>
      <c r="F1609" t="s">
        <v>25</v>
      </c>
      <c r="G1609" t="s">
        <v>22</v>
      </c>
      <c r="H1609">
        <v>3452.8</v>
      </c>
      <c r="I1609" t="str">
        <f>"Creative Support Ltd"</f>
        <v>Creative Support Ltd</v>
      </c>
      <c r="J1609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610" spans="1:10" x14ac:dyDescent="0.35">
      <c r="A1610" t="str">
        <f t="shared" si="276"/>
        <v>NOV</v>
      </c>
      <c r="B1610" t="str">
        <f t="shared" si="283"/>
        <v>20</v>
      </c>
      <c r="C1610" t="str">
        <f t="shared" si="284"/>
        <v>2020/21</v>
      </c>
      <c r="D1610" t="str">
        <f>"SS SL 114884"</f>
        <v>SS SL 114884</v>
      </c>
      <c r="E1610" t="str">
        <f t="shared" si="285"/>
        <v>SS</v>
      </c>
      <c r="F1610" t="s">
        <v>25</v>
      </c>
      <c r="G1610" t="s">
        <v>22</v>
      </c>
      <c r="H1610">
        <v>3452.8</v>
      </c>
      <c r="I1610" t="str">
        <f>"Creative Support Ltd"</f>
        <v>Creative Support Ltd</v>
      </c>
      <c r="J1610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611" spans="1:10" x14ac:dyDescent="0.35">
      <c r="A1611" t="str">
        <f t="shared" si="276"/>
        <v>NOV</v>
      </c>
      <c r="B1611" t="str">
        <f t="shared" si="283"/>
        <v>20</v>
      </c>
      <c r="C1611" t="str">
        <f t="shared" si="284"/>
        <v>2020/21</v>
      </c>
      <c r="D1611" t="str">
        <f>"SS SL 114884"</f>
        <v>SS SL 114884</v>
      </c>
      <c r="E1611" t="str">
        <f t="shared" si="285"/>
        <v>SS</v>
      </c>
      <c r="F1611" t="s">
        <v>25</v>
      </c>
      <c r="G1611" t="s">
        <v>22</v>
      </c>
      <c r="H1611">
        <v>8105.78</v>
      </c>
      <c r="I1611" t="str">
        <f>"Creative Support Ltd"</f>
        <v>Creative Support Ltd</v>
      </c>
      <c r="J1611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1612" spans="1:10" x14ac:dyDescent="0.35">
      <c r="A1612" t="str">
        <f t="shared" si="276"/>
        <v>NOV</v>
      </c>
      <c r="B1612" t="str">
        <f t="shared" si="283"/>
        <v>20</v>
      </c>
      <c r="C1612" t="str">
        <f t="shared" si="284"/>
        <v>2020/21</v>
      </c>
      <c r="D1612" t="str">
        <f t="shared" ref="D1612:D1641" si="286">"SS SL 114855"</f>
        <v>SS SL 114855</v>
      </c>
      <c r="E1612" t="str">
        <f t="shared" si="285"/>
        <v>SS</v>
      </c>
      <c r="F1612" t="s">
        <v>25</v>
      </c>
      <c r="G1612" t="s">
        <v>22</v>
      </c>
      <c r="H1612">
        <v>2606.31</v>
      </c>
      <c r="I1612" t="str">
        <f t="shared" ref="I1612:I1644" si="287">"The Mayfield Trust"</f>
        <v>The Mayfield Trust</v>
      </c>
      <c r="J1612" t="str">
        <f t="shared" ref="J1612:J1641" si="288"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1613" spans="1:10" x14ac:dyDescent="0.35">
      <c r="A1613" t="str">
        <f t="shared" si="276"/>
        <v>NOV</v>
      </c>
      <c r="B1613" t="str">
        <f t="shared" si="283"/>
        <v>20</v>
      </c>
      <c r="C1613" t="str">
        <f t="shared" si="284"/>
        <v>2020/21</v>
      </c>
      <c r="D1613" t="str">
        <f t="shared" si="286"/>
        <v>SS SL 114855</v>
      </c>
      <c r="E1613" t="str">
        <f t="shared" si="285"/>
        <v>SS</v>
      </c>
      <c r="F1613" t="s">
        <v>25</v>
      </c>
      <c r="G1613" t="s">
        <v>22</v>
      </c>
      <c r="H1613">
        <v>2606.3200000000002</v>
      </c>
      <c r="I1613" t="str">
        <f t="shared" si="287"/>
        <v>The Mayfield Trust</v>
      </c>
      <c r="J1613" t="str">
        <f t="shared" si="288"/>
        <v>Mayfield Mews (Mayfield) Private Contractors Agency And Contracted Services Supported Living Adult Health &amp; Social Care</v>
      </c>
    </row>
    <row r="1614" spans="1:10" x14ac:dyDescent="0.35">
      <c r="A1614" t="str">
        <f t="shared" si="276"/>
        <v>NOV</v>
      </c>
      <c r="B1614" t="str">
        <f t="shared" si="283"/>
        <v>20</v>
      </c>
      <c r="C1614" t="str">
        <f t="shared" si="284"/>
        <v>2020/21</v>
      </c>
      <c r="D1614" t="str">
        <f t="shared" si="286"/>
        <v>SS SL 114855</v>
      </c>
      <c r="E1614" t="str">
        <f t="shared" si="285"/>
        <v>SS</v>
      </c>
      <c r="F1614" t="s">
        <v>25</v>
      </c>
      <c r="G1614" t="s">
        <v>22</v>
      </c>
      <c r="H1614">
        <v>2905</v>
      </c>
      <c r="I1614" t="str">
        <f t="shared" si="287"/>
        <v>The Mayfield Trust</v>
      </c>
      <c r="J1614" t="str">
        <f t="shared" si="288"/>
        <v>Mayfield Mews (Mayfield) Private Contractors Agency And Contracted Services Supported Living Adult Health &amp; Social Care</v>
      </c>
    </row>
    <row r="1615" spans="1:10" x14ac:dyDescent="0.35">
      <c r="A1615" t="str">
        <f t="shared" si="276"/>
        <v>NOV</v>
      </c>
      <c r="B1615" t="str">
        <f t="shared" si="283"/>
        <v>20</v>
      </c>
      <c r="C1615" t="str">
        <f t="shared" si="284"/>
        <v>2020/21</v>
      </c>
      <c r="D1615" t="str">
        <f t="shared" si="286"/>
        <v>SS SL 114855</v>
      </c>
      <c r="E1615" t="str">
        <f t="shared" si="285"/>
        <v>SS</v>
      </c>
      <c r="F1615" t="s">
        <v>25</v>
      </c>
      <c r="G1615" t="s">
        <v>22</v>
      </c>
      <c r="H1615">
        <v>-527.05999999999995</v>
      </c>
      <c r="I1615" t="str">
        <f t="shared" si="287"/>
        <v>The Mayfield Trust</v>
      </c>
      <c r="J1615" t="str">
        <f t="shared" si="288"/>
        <v>Mayfield Mews (Mayfield) Private Contractors Agency And Contracted Services Supported Living Adult Health &amp; Social Care</v>
      </c>
    </row>
    <row r="1616" spans="1:10" x14ac:dyDescent="0.35">
      <c r="A1616" t="str">
        <f t="shared" si="276"/>
        <v>NOV</v>
      </c>
      <c r="B1616" t="str">
        <f t="shared" si="283"/>
        <v>20</v>
      </c>
      <c r="C1616" t="str">
        <f t="shared" si="284"/>
        <v>2020/21</v>
      </c>
      <c r="D1616" t="str">
        <f t="shared" si="286"/>
        <v>SS SL 114855</v>
      </c>
      <c r="E1616" t="str">
        <f t="shared" si="285"/>
        <v>SS</v>
      </c>
      <c r="F1616" t="s">
        <v>25</v>
      </c>
      <c r="G1616" t="s">
        <v>22</v>
      </c>
      <c r="H1616">
        <v>3369.8</v>
      </c>
      <c r="I1616" t="str">
        <f t="shared" si="287"/>
        <v>The Mayfield Trust</v>
      </c>
      <c r="J1616" t="str">
        <f t="shared" si="288"/>
        <v>Mayfield Mews (Mayfield) Private Contractors Agency And Contracted Services Supported Living Adult Health &amp; Social Care</v>
      </c>
    </row>
    <row r="1617" spans="1:10" x14ac:dyDescent="0.35">
      <c r="A1617" t="str">
        <f t="shared" si="276"/>
        <v>NOV</v>
      </c>
      <c r="B1617" t="str">
        <f t="shared" si="283"/>
        <v>20</v>
      </c>
      <c r="C1617" t="str">
        <f t="shared" si="284"/>
        <v>2020/21</v>
      </c>
      <c r="D1617" t="str">
        <f t="shared" si="286"/>
        <v>SS SL 114855</v>
      </c>
      <c r="E1617" t="str">
        <f t="shared" si="285"/>
        <v>SS</v>
      </c>
      <c r="F1617" t="s">
        <v>25</v>
      </c>
      <c r="G1617" t="s">
        <v>22</v>
      </c>
      <c r="H1617">
        <v>2905</v>
      </c>
      <c r="I1617" t="str">
        <f t="shared" si="287"/>
        <v>The Mayfield Trust</v>
      </c>
      <c r="J1617" t="str">
        <f t="shared" si="288"/>
        <v>Mayfield Mews (Mayfield) Private Contractors Agency And Contracted Services Supported Living Adult Health &amp; Social Care</v>
      </c>
    </row>
    <row r="1618" spans="1:10" x14ac:dyDescent="0.35">
      <c r="A1618" t="str">
        <f t="shared" si="276"/>
        <v>NOV</v>
      </c>
      <c r="B1618" t="str">
        <f t="shared" si="283"/>
        <v>20</v>
      </c>
      <c r="C1618" t="str">
        <f t="shared" si="284"/>
        <v>2020/21</v>
      </c>
      <c r="D1618" t="str">
        <f t="shared" si="286"/>
        <v>SS SL 114855</v>
      </c>
      <c r="E1618" t="str">
        <f t="shared" si="285"/>
        <v>SS</v>
      </c>
      <c r="F1618" t="s">
        <v>25</v>
      </c>
      <c r="G1618" t="s">
        <v>22</v>
      </c>
      <c r="H1618">
        <v>2284.8000000000002</v>
      </c>
      <c r="I1618" t="str">
        <f t="shared" si="287"/>
        <v>The Mayfield Trust</v>
      </c>
      <c r="J1618" t="str">
        <f t="shared" si="288"/>
        <v>Mayfield Mews (Mayfield) Private Contractors Agency And Contracted Services Supported Living Adult Health &amp; Social Care</v>
      </c>
    </row>
    <row r="1619" spans="1:10" x14ac:dyDescent="0.35">
      <c r="A1619" t="str">
        <f t="shared" si="276"/>
        <v>NOV</v>
      </c>
      <c r="B1619" t="str">
        <f t="shared" si="283"/>
        <v>20</v>
      </c>
      <c r="C1619" t="str">
        <f t="shared" si="284"/>
        <v>2020/21</v>
      </c>
      <c r="D1619" t="str">
        <f t="shared" si="286"/>
        <v>SS SL 114855</v>
      </c>
      <c r="E1619" t="str">
        <f t="shared" si="285"/>
        <v>SS</v>
      </c>
      <c r="F1619" t="s">
        <v>25</v>
      </c>
      <c r="G1619" t="s">
        <v>22</v>
      </c>
      <c r="H1619">
        <v>3631.25</v>
      </c>
      <c r="I1619" t="str">
        <f t="shared" si="287"/>
        <v>The Mayfield Trust</v>
      </c>
      <c r="J1619" t="str">
        <f t="shared" si="288"/>
        <v>Mayfield Mews (Mayfield) Private Contractors Agency And Contracted Services Supported Living Adult Health &amp; Social Care</v>
      </c>
    </row>
    <row r="1620" spans="1:10" x14ac:dyDescent="0.35">
      <c r="A1620" t="str">
        <f t="shared" ref="A1620:A1683" si="289">"NOV"</f>
        <v>NOV</v>
      </c>
      <c r="B1620" t="str">
        <f t="shared" si="283"/>
        <v>20</v>
      </c>
      <c r="C1620" t="str">
        <f t="shared" si="284"/>
        <v>2020/21</v>
      </c>
      <c r="D1620" t="str">
        <f t="shared" si="286"/>
        <v>SS SL 114855</v>
      </c>
      <c r="E1620" t="str">
        <f t="shared" si="285"/>
        <v>SS</v>
      </c>
      <c r="F1620" t="s">
        <v>25</v>
      </c>
      <c r="G1620" t="s">
        <v>22</v>
      </c>
      <c r="H1620">
        <v>2905</v>
      </c>
      <c r="I1620" t="str">
        <f t="shared" si="287"/>
        <v>The Mayfield Trust</v>
      </c>
      <c r="J1620" t="str">
        <f t="shared" si="288"/>
        <v>Mayfield Mews (Mayfield) Private Contractors Agency And Contracted Services Supported Living Adult Health &amp; Social Care</v>
      </c>
    </row>
    <row r="1621" spans="1:10" x14ac:dyDescent="0.35">
      <c r="A1621" t="str">
        <f t="shared" si="289"/>
        <v>NOV</v>
      </c>
      <c r="B1621" t="str">
        <f t="shared" si="283"/>
        <v>20</v>
      </c>
      <c r="C1621" t="str">
        <f t="shared" si="284"/>
        <v>2020/21</v>
      </c>
      <c r="D1621" t="str">
        <f t="shared" si="286"/>
        <v>SS SL 114855</v>
      </c>
      <c r="E1621" t="str">
        <f t="shared" si="285"/>
        <v>SS</v>
      </c>
      <c r="F1621" t="s">
        <v>25</v>
      </c>
      <c r="G1621" t="s">
        <v>22</v>
      </c>
      <c r="H1621">
        <v>4648</v>
      </c>
      <c r="I1621" t="str">
        <f t="shared" si="287"/>
        <v>The Mayfield Trust</v>
      </c>
      <c r="J1621" t="str">
        <f t="shared" si="288"/>
        <v>Mayfield Mews (Mayfield) Private Contractors Agency And Contracted Services Supported Living Adult Health &amp; Social Care</v>
      </c>
    </row>
    <row r="1622" spans="1:10" x14ac:dyDescent="0.35">
      <c r="A1622" t="str">
        <f t="shared" si="289"/>
        <v>NOV</v>
      </c>
      <c r="B1622" t="str">
        <f t="shared" si="283"/>
        <v>20</v>
      </c>
      <c r="C1622" t="str">
        <f t="shared" si="284"/>
        <v>2020/21</v>
      </c>
      <c r="D1622" t="str">
        <f t="shared" si="286"/>
        <v>SS SL 114855</v>
      </c>
      <c r="E1622" t="str">
        <f t="shared" si="285"/>
        <v>SS</v>
      </c>
      <c r="F1622" t="s">
        <v>25</v>
      </c>
      <c r="G1622" t="s">
        <v>22</v>
      </c>
      <c r="H1622">
        <v>413.96</v>
      </c>
      <c r="I1622" t="str">
        <f t="shared" si="287"/>
        <v>The Mayfield Trust</v>
      </c>
      <c r="J1622" t="str">
        <f t="shared" si="288"/>
        <v>Mayfield Mews (Mayfield) Private Contractors Agency And Contracted Services Supported Living Adult Health &amp; Social Care</v>
      </c>
    </row>
    <row r="1623" spans="1:10" x14ac:dyDescent="0.35">
      <c r="A1623" t="str">
        <f t="shared" si="289"/>
        <v>NOV</v>
      </c>
      <c r="B1623" t="str">
        <f t="shared" si="283"/>
        <v>20</v>
      </c>
      <c r="C1623" t="str">
        <f t="shared" si="284"/>
        <v>2020/21</v>
      </c>
      <c r="D1623" t="str">
        <f t="shared" si="286"/>
        <v>SS SL 114855</v>
      </c>
      <c r="E1623" t="str">
        <f t="shared" si="285"/>
        <v>SS</v>
      </c>
      <c r="F1623" t="s">
        <v>25</v>
      </c>
      <c r="G1623" t="s">
        <v>22</v>
      </c>
      <c r="H1623">
        <v>497.05</v>
      </c>
      <c r="I1623" t="str">
        <f t="shared" si="287"/>
        <v>The Mayfield Trust</v>
      </c>
      <c r="J1623" t="str">
        <f t="shared" si="288"/>
        <v>Mayfield Mews (Mayfield) Private Contractors Agency And Contracted Services Supported Living Adult Health &amp; Social Care</v>
      </c>
    </row>
    <row r="1624" spans="1:10" x14ac:dyDescent="0.35">
      <c r="A1624" t="str">
        <f t="shared" si="289"/>
        <v>NOV</v>
      </c>
      <c r="B1624" t="str">
        <f t="shared" si="283"/>
        <v>20</v>
      </c>
      <c r="C1624" t="str">
        <f t="shared" si="284"/>
        <v>2020/21</v>
      </c>
      <c r="D1624" t="str">
        <f t="shared" si="286"/>
        <v>SS SL 114855</v>
      </c>
      <c r="E1624" t="str">
        <f t="shared" si="285"/>
        <v>SS</v>
      </c>
      <c r="F1624" t="s">
        <v>25</v>
      </c>
      <c r="G1624" t="s">
        <v>22</v>
      </c>
      <c r="H1624">
        <v>342.72</v>
      </c>
      <c r="I1624" t="str">
        <f t="shared" si="287"/>
        <v>The Mayfield Trust</v>
      </c>
      <c r="J1624" t="str">
        <f t="shared" si="288"/>
        <v>Mayfield Mews (Mayfield) Private Contractors Agency And Contracted Services Supported Living Adult Health &amp; Social Care</v>
      </c>
    </row>
    <row r="1625" spans="1:10" x14ac:dyDescent="0.35">
      <c r="A1625" t="str">
        <f t="shared" si="289"/>
        <v>NOV</v>
      </c>
      <c r="B1625" t="str">
        <f t="shared" si="283"/>
        <v>20</v>
      </c>
      <c r="C1625" t="str">
        <f t="shared" si="284"/>
        <v>2020/21</v>
      </c>
      <c r="D1625" t="str">
        <f t="shared" si="286"/>
        <v>SS SL 114855</v>
      </c>
      <c r="E1625" t="str">
        <f t="shared" si="285"/>
        <v>SS</v>
      </c>
      <c r="F1625" t="s">
        <v>25</v>
      </c>
      <c r="G1625" t="s">
        <v>22</v>
      </c>
      <c r="H1625">
        <v>413.96</v>
      </c>
      <c r="I1625" t="str">
        <f t="shared" si="287"/>
        <v>The Mayfield Trust</v>
      </c>
      <c r="J1625" t="str">
        <f t="shared" si="288"/>
        <v>Mayfield Mews (Mayfield) Private Contractors Agency And Contracted Services Supported Living Adult Health &amp; Social Care</v>
      </c>
    </row>
    <row r="1626" spans="1:10" x14ac:dyDescent="0.35">
      <c r="A1626" t="str">
        <f t="shared" si="289"/>
        <v>NOV</v>
      </c>
      <c r="B1626" t="str">
        <f t="shared" si="283"/>
        <v>20</v>
      </c>
      <c r="C1626" t="str">
        <f t="shared" si="284"/>
        <v>2020/21</v>
      </c>
      <c r="D1626" t="str">
        <f t="shared" si="286"/>
        <v>SS SL 114855</v>
      </c>
      <c r="E1626" t="str">
        <f t="shared" si="285"/>
        <v>SS</v>
      </c>
      <c r="F1626" t="s">
        <v>25</v>
      </c>
      <c r="G1626" t="s">
        <v>22</v>
      </c>
      <c r="H1626">
        <v>372.7</v>
      </c>
      <c r="I1626" t="str">
        <f t="shared" si="287"/>
        <v>The Mayfield Trust</v>
      </c>
      <c r="J1626" t="str">
        <f t="shared" si="288"/>
        <v>Mayfield Mews (Mayfield) Private Contractors Agency And Contracted Services Supported Living Adult Health &amp; Social Care</v>
      </c>
    </row>
    <row r="1627" spans="1:10" x14ac:dyDescent="0.35">
      <c r="A1627" t="str">
        <f t="shared" si="289"/>
        <v>NOV</v>
      </c>
      <c r="B1627" t="str">
        <f t="shared" si="283"/>
        <v>20</v>
      </c>
      <c r="C1627" t="str">
        <f t="shared" si="284"/>
        <v>2020/21</v>
      </c>
      <c r="D1627" t="str">
        <f t="shared" si="286"/>
        <v>SS SL 114855</v>
      </c>
      <c r="E1627" t="str">
        <f t="shared" si="285"/>
        <v>SS</v>
      </c>
      <c r="F1627" t="s">
        <v>25</v>
      </c>
      <c r="G1627" t="s">
        <v>22</v>
      </c>
      <c r="H1627">
        <v>685.58</v>
      </c>
      <c r="I1627" t="str">
        <f t="shared" si="287"/>
        <v>The Mayfield Trust</v>
      </c>
      <c r="J1627" t="str">
        <f t="shared" si="288"/>
        <v>Mayfield Mews (Mayfield) Private Contractors Agency And Contracted Services Supported Living Adult Health &amp; Social Care</v>
      </c>
    </row>
    <row r="1628" spans="1:10" x14ac:dyDescent="0.35">
      <c r="A1628" t="str">
        <f t="shared" si="289"/>
        <v>NOV</v>
      </c>
      <c r="B1628" t="str">
        <f t="shared" si="283"/>
        <v>20</v>
      </c>
      <c r="C1628" t="str">
        <f t="shared" si="284"/>
        <v>2020/21</v>
      </c>
      <c r="D1628" t="str">
        <f t="shared" si="286"/>
        <v>SS SL 114855</v>
      </c>
      <c r="E1628" t="str">
        <f t="shared" si="285"/>
        <v>SS</v>
      </c>
      <c r="F1628" t="s">
        <v>25</v>
      </c>
      <c r="G1628" t="s">
        <v>22</v>
      </c>
      <c r="H1628">
        <v>372.7</v>
      </c>
      <c r="I1628" t="str">
        <f t="shared" si="287"/>
        <v>The Mayfield Trust</v>
      </c>
      <c r="J1628" t="str">
        <f t="shared" si="288"/>
        <v>Mayfield Mews (Mayfield) Private Contractors Agency And Contracted Services Supported Living Adult Health &amp; Social Care</v>
      </c>
    </row>
    <row r="1629" spans="1:10" x14ac:dyDescent="0.35">
      <c r="A1629" t="str">
        <f t="shared" si="289"/>
        <v>NOV</v>
      </c>
      <c r="B1629" t="str">
        <f t="shared" si="283"/>
        <v>20</v>
      </c>
      <c r="C1629" t="str">
        <f t="shared" si="284"/>
        <v>2020/21</v>
      </c>
      <c r="D1629" t="str">
        <f t="shared" si="286"/>
        <v>SS SL 114855</v>
      </c>
      <c r="E1629" t="str">
        <f t="shared" si="285"/>
        <v>SS</v>
      </c>
      <c r="F1629" t="s">
        <v>25</v>
      </c>
      <c r="G1629" t="s">
        <v>22</v>
      </c>
      <c r="H1629">
        <v>415.42</v>
      </c>
      <c r="I1629" t="str">
        <f t="shared" si="287"/>
        <v>The Mayfield Trust</v>
      </c>
      <c r="J1629" t="str">
        <f t="shared" si="288"/>
        <v>Mayfield Mews (Mayfield) Private Contractors Agency And Contracted Services Supported Living Adult Health &amp; Social Care</v>
      </c>
    </row>
    <row r="1630" spans="1:10" x14ac:dyDescent="0.35">
      <c r="A1630" t="str">
        <f t="shared" si="289"/>
        <v>NOV</v>
      </c>
      <c r="B1630" t="str">
        <f t="shared" si="283"/>
        <v>20</v>
      </c>
      <c r="C1630" t="str">
        <f t="shared" si="284"/>
        <v>2020/21</v>
      </c>
      <c r="D1630" t="str">
        <f t="shared" si="286"/>
        <v>SS SL 114855</v>
      </c>
      <c r="E1630" t="str">
        <f t="shared" si="285"/>
        <v>SS</v>
      </c>
      <c r="F1630" t="s">
        <v>25</v>
      </c>
      <c r="G1630" t="s">
        <v>22</v>
      </c>
      <c r="H1630">
        <v>-70.760000000000005</v>
      </c>
      <c r="I1630" t="str">
        <f t="shared" si="287"/>
        <v>The Mayfield Trust</v>
      </c>
      <c r="J1630" t="str">
        <f t="shared" si="288"/>
        <v>Mayfield Mews (Mayfield) Private Contractors Agency And Contracted Services Supported Living Adult Health &amp; Social Care</v>
      </c>
    </row>
    <row r="1631" spans="1:10" x14ac:dyDescent="0.35">
      <c r="A1631" t="str">
        <f t="shared" si="289"/>
        <v>NOV</v>
      </c>
      <c r="B1631" t="str">
        <f t="shared" si="283"/>
        <v>20</v>
      </c>
      <c r="C1631" t="str">
        <f t="shared" si="284"/>
        <v>2020/21</v>
      </c>
      <c r="D1631" t="str">
        <f t="shared" si="286"/>
        <v>SS SL 114855</v>
      </c>
      <c r="E1631" t="str">
        <f t="shared" si="285"/>
        <v>SS</v>
      </c>
      <c r="F1631" t="s">
        <v>25</v>
      </c>
      <c r="G1631" t="s">
        <v>22</v>
      </c>
      <c r="H1631">
        <v>434.01</v>
      </c>
      <c r="I1631" t="str">
        <f t="shared" si="287"/>
        <v>The Mayfield Trust</v>
      </c>
      <c r="J1631" t="str">
        <f t="shared" si="288"/>
        <v>Mayfield Mews (Mayfield) Private Contractors Agency And Contracted Services Supported Living Adult Health &amp; Social Care</v>
      </c>
    </row>
    <row r="1632" spans="1:10" x14ac:dyDescent="0.35">
      <c r="A1632" t="str">
        <f t="shared" si="289"/>
        <v>NOV</v>
      </c>
      <c r="B1632" t="str">
        <f t="shared" si="283"/>
        <v>20</v>
      </c>
      <c r="C1632" t="str">
        <f t="shared" si="284"/>
        <v>2020/21</v>
      </c>
      <c r="D1632" t="str">
        <f t="shared" si="286"/>
        <v>SS SL 114855</v>
      </c>
      <c r="E1632" t="str">
        <f t="shared" si="285"/>
        <v>SS</v>
      </c>
      <c r="F1632" t="s">
        <v>25</v>
      </c>
      <c r="G1632" t="s">
        <v>22</v>
      </c>
      <c r="H1632">
        <v>2759.75</v>
      </c>
      <c r="I1632" t="str">
        <f t="shared" si="287"/>
        <v>The Mayfield Trust</v>
      </c>
      <c r="J1632" t="str">
        <f t="shared" si="288"/>
        <v>Mayfield Mews (Mayfield) Private Contractors Agency And Contracted Services Supported Living Adult Health &amp; Social Care</v>
      </c>
    </row>
    <row r="1633" spans="1:10" x14ac:dyDescent="0.35">
      <c r="A1633" t="str">
        <f t="shared" si="289"/>
        <v>NOV</v>
      </c>
      <c r="B1633" t="str">
        <f t="shared" si="283"/>
        <v>20</v>
      </c>
      <c r="C1633" t="str">
        <f t="shared" si="284"/>
        <v>2020/21</v>
      </c>
      <c r="D1633" t="str">
        <f t="shared" si="286"/>
        <v>SS SL 114855</v>
      </c>
      <c r="E1633" t="str">
        <f t="shared" si="285"/>
        <v>SS</v>
      </c>
      <c r="F1633" t="s">
        <v>25</v>
      </c>
      <c r="G1633" t="s">
        <v>22</v>
      </c>
      <c r="H1633">
        <v>1713.6</v>
      </c>
      <c r="I1633" t="str">
        <f t="shared" si="287"/>
        <v>The Mayfield Trust</v>
      </c>
      <c r="J1633" t="str">
        <f t="shared" si="288"/>
        <v>Mayfield Mews (Mayfield) Private Contractors Agency And Contracted Services Supported Living Adult Health &amp; Social Care</v>
      </c>
    </row>
    <row r="1634" spans="1:10" x14ac:dyDescent="0.35">
      <c r="A1634" t="str">
        <f t="shared" si="289"/>
        <v>NOV</v>
      </c>
      <c r="B1634" t="str">
        <f t="shared" si="283"/>
        <v>20</v>
      </c>
      <c r="C1634" t="str">
        <f t="shared" si="284"/>
        <v>2020/21</v>
      </c>
      <c r="D1634" t="str">
        <f t="shared" si="286"/>
        <v>SS SL 114855</v>
      </c>
      <c r="E1634" t="str">
        <f t="shared" si="285"/>
        <v>SS</v>
      </c>
      <c r="F1634" t="s">
        <v>25</v>
      </c>
      <c r="G1634" t="s">
        <v>22</v>
      </c>
      <c r="H1634">
        <v>2469.25</v>
      </c>
      <c r="I1634" t="str">
        <f t="shared" si="287"/>
        <v>The Mayfield Trust</v>
      </c>
      <c r="J1634" t="str">
        <f t="shared" si="288"/>
        <v>Mayfield Mews (Mayfield) Private Contractors Agency And Contracted Services Supported Living Adult Health &amp; Social Care</v>
      </c>
    </row>
    <row r="1635" spans="1:10" x14ac:dyDescent="0.35">
      <c r="A1635" t="str">
        <f t="shared" si="289"/>
        <v>NOV</v>
      </c>
      <c r="B1635" t="str">
        <f t="shared" si="283"/>
        <v>20</v>
      </c>
      <c r="C1635" t="str">
        <f t="shared" si="284"/>
        <v>2020/21</v>
      </c>
      <c r="D1635" t="str">
        <f t="shared" si="286"/>
        <v>SS SL 114855</v>
      </c>
      <c r="E1635" t="str">
        <f t="shared" si="285"/>
        <v>SS</v>
      </c>
      <c r="F1635" t="s">
        <v>25</v>
      </c>
      <c r="G1635" t="s">
        <v>22</v>
      </c>
      <c r="H1635">
        <v>2233.98</v>
      </c>
      <c r="I1635" t="str">
        <f t="shared" si="287"/>
        <v>The Mayfield Trust</v>
      </c>
      <c r="J1635" t="str">
        <f t="shared" si="288"/>
        <v>Mayfield Mews (Mayfield) Private Contractors Agency And Contracted Services Supported Living Adult Health &amp; Social Care</v>
      </c>
    </row>
    <row r="1636" spans="1:10" x14ac:dyDescent="0.35">
      <c r="A1636" t="str">
        <f t="shared" si="289"/>
        <v>NOV</v>
      </c>
      <c r="B1636" t="str">
        <f t="shared" si="283"/>
        <v>20</v>
      </c>
      <c r="C1636" t="str">
        <f t="shared" si="284"/>
        <v>2020/21</v>
      </c>
      <c r="D1636" t="str">
        <f t="shared" si="286"/>
        <v>SS SL 114855</v>
      </c>
      <c r="E1636" t="str">
        <f t="shared" si="285"/>
        <v>SS</v>
      </c>
      <c r="F1636" t="s">
        <v>25</v>
      </c>
      <c r="G1636" t="s">
        <v>22</v>
      </c>
      <c r="H1636">
        <v>2280.5300000000002</v>
      </c>
      <c r="I1636" t="str">
        <f t="shared" si="287"/>
        <v>The Mayfield Trust</v>
      </c>
      <c r="J1636" t="str">
        <f t="shared" si="288"/>
        <v>Mayfield Mews (Mayfield) Private Contractors Agency And Contracted Services Supported Living Adult Health &amp; Social Care</v>
      </c>
    </row>
    <row r="1637" spans="1:10" x14ac:dyDescent="0.35">
      <c r="A1637" t="str">
        <f t="shared" si="289"/>
        <v>NOV</v>
      </c>
      <c r="B1637" t="str">
        <f t="shared" si="283"/>
        <v>20</v>
      </c>
      <c r="C1637" t="str">
        <f t="shared" si="284"/>
        <v>2020/21</v>
      </c>
      <c r="D1637" t="str">
        <f t="shared" si="286"/>
        <v>SS SL 114855</v>
      </c>
      <c r="E1637" t="str">
        <f t="shared" si="285"/>
        <v>SS</v>
      </c>
      <c r="F1637" t="s">
        <v>25</v>
      </c>
      <c r="G1637" t="s">
        <v>22</v>
      </c>
      <c r="H1637">
        <v>2541.88</v>
      </c>
      <c r="I1637" t="str">
        <f t="shared" si="287"/>
        <v>The Mayfield Trust</v>
      </c>
      <c r="J1637" t="str">
        <f t="shared" si="288"/>
        <v>Mayfield Mews (Mayfield) Private Contractors Agency And Contracted Services Supported Living Adult Health &amp; Social Care</v>
      </c>
    </row>
    <row r="1638" spans="1:10" x14ac:dyDescent="0.35">
      <c r="A1638" t="str">
        <f t="shared" si="289"/>
        <v>NOV</v>
      </c>
      <c r="B1638" t="str">
        <f t="shared" si="283"/>
        <v>20</v>
      </c>
      <c r="C1638" t="str">
        <f t="shared" si="284"/>
        <v>2020/21</v>
      </c>
      <c r="D1638" t="str">
        <f t="shared" si="286"/>
        <v>SS SL 114855</v>
      </c>
      <c r="E1638" t="str">
        <f t="shared" si="285"/>
        <v>SS</v>
      </c>
      <c r="F1638" t="s">
        <v>25</v>
      </c>
      <c r="G1638" t="s">
        <v>22</v>
      </c>
      <c r="H1638">
        <v>2520.09</v>
      </c>
      <c r="I1638" t="str">
        <f t="shared" si="287"/>
        <v>The Mayfield Trust</v>
      </c>
      <c r="J1638" t="str">
        <f t="shared" si="288"/>
        <v>Mayfield Mews (Mayfield) Private Contractors Agency And Contracted Services Supported Living Adult Health &amp; Social Care</v>
      </c>
    </row>
    <row r="1639" spans="1:10" x14ac:dyDescent="0.35">
      <c r="A1639" t="str">
        <f t="shared" si="289"/>
        <v>NOV</v>
      </c>
      <c r="B1639" t="str">
        <f t="shared" si="283"/>
        <v>20</v>
      </c>
      <c r="C1639" t="str">
        <f t="shared" si="284"/>
        <v>2020/21</v>
      </c>
      <c r="D1639" t="str">
        <f t="shared" si="286"/>
        <v>SS SL 114855</v>
      </c>
      <c r="E1639" t="str">
        <f t="shared" si="285"/>
        <v>SS</v>
      </c>
      <c r="F1639" t="s">
        <v>25</v>
      </c>
      <c r="G1639" t="s">
        <v>22</v>
      </c>
      <c r="H1639">
        <v>3950.8</v>
      </c>
      <c r="I1639" t="str">
        <f t="shared" si="287"/>
        <v>The Mayfield Trust</v>
      </c>
      <c r="J1639" t="str">
        <f t="shared" si="288"/>
        <v>Mayfield Mews (Mayfield) Private Contractors Agency And Contracted Services Supported Living Adult Health &amp; Social Care</v>
      </c>
    </row>
    <row r="1640" spans="1:10" x14ac:dyDescent="0.35">
      <c r="A1640" t="str">
        <f t="shared" si="289"/>
        <v>NOV</v>
      </c>
      <c r="B1640" t="str">
        <f t="shared" si="283"/>
        <v>20</v>
      </c>
      <c r="C1640" t="str">
        <f t="shared" si="284"/>
        <v>2020/21</v>
      </c>
      <c r="D1640" t="str">
        <f t="shared" si="286"/>
        <v>SS SL 114855</v>
      </c>
      <c r="E1640" t="str">
        <f t="shared" si="285"/>
        <v>SS</v>
      </c>
      <c r="F1640" t="s">
        <v>25</v>
      </c>
      <c r="G1640" t="s">
        <v>22</v>
      </c>
      <c r="H1640">
        <v>2948.58</v>
      </c>
      <c r="I1640" t="str">
        <f t="shared" si="287"/>
        <v>The Mayfield Trust</v>
      </c>
      <c r="J1640" t="str">
        <f t="shared" si="288"/>
        <v>Mayfield Mews (Mayfield) Private Contractors Agency And Contracted Services Supported Living Adult Health &amp; Social Care</v>
      </c>
    </row>
    <row r="1641" spans="1:10" x14ac:dyDescent="0.35">
      <c r="A1641" t="str">
        <f t="shared" si="289"/>
        <v>NOV</v>
      </c>
      <c r="B1641" t="str">
        <f t="shared" si="283"/>
        <v>20</v>
      </c>
      <c r="C1641" t="str">
        <f t="shared" si="284"/>
        <v>2020/21</v>
      </c>
      <c r="D1641" t="str">
        <f t="shared" si="286"/>
        <v>SS SL 114855</v>
      </c>
      <c r="E1641" t="str">
        <f t="shared" si="285"/>
        <v>SS</v>
      </c>
      <c r="F1641" t="s">
        <v>25</v>
      </c>
      <c r="G1641" t="s">
        <v>22</v>
      </c>
      <c r="H1641">
        <v>-9.81</v>
      </c>
      <c r="I1641" t="str">
        <f t="shared" si="287"/>
        <v>The Mayfield Trust</v>
      </c>
      <c r="J1641" t="str">
        <f t="shared" si="288"/>
        <v>Mayfield Mews (Mayfield) Private Contractors Agency And Contracted Services Supported Living Adult Health &amp; Social Care</v>
      </c>
    </row>
    <row r="1642" spans="1:10" x14ac:dyDescent="0.35">
      <c r="A1642" t="str">
        <f t="shared" si="289"/>
        <v>NOV</v>
      </c>
      <c r="B1642" t="str">
        <f t="shared" si="283"/>
        <v>20</v>
      </c>
      <c r="C1642" t="str">
        <f t="shared" si="284"/>
        <v>2020/21</v>
      </c>
      <c r="D1642" t="str">
        <f>"SS SL 116131"</f>
        <v>SS SL 116131</v>
      </c>
      <c r="E1642" t="str">
        <f t="shared" si="285"/>
        <v>SS</v>
      </c>
      <c r="F1642" t="s">
        <v>25</v>
      </c>
      <c r="G1642" t="s">
        <v>22</v>
      </c>
      <c r="H1642">
        <v>840.4</v>
      </c>
      <c r="I1642" t="str">
        <f t="shared" si="287"/>
        <v>The Mayfield Trust</v>
      </c>
      <c r="J1642" t="str">
        <f>"Infection Control Fund Payment - Round 2 Private Contractors Agency And Contracted Services Supported Living Adult Health &amp; Social Care"</f>
        <v>Infection Control Fund Payment - Round 2 Private Contractors Agency And Contracted Services Supported Living Adult Health &amp; Social Care</v>
      </c>
    </row>
    <row r="1643" spans="1:10" x14ac:dyDescent="0.35">
      <c r="A1643" t="str">
        <f t="shared" si="289"/>
        <v>NOV</v>
      </c>
      <c r="B1643" t="str">
        <f t="shared" si="283"/>
        <v>20</v>
      </c>
      <c r="C1643" t="str">
        <f t="shared" si="284"/>
        <v>2020/21</v>
      </c>
      <c r="D1643" t="str">
        <f>"SS SL 116131"</f>
        <v>SS SL 116131</v>
      </c>
      <c r="E1643" t="str">
        <f t="shared" si="285"/>
        <v>SS</v>
      </c>
      <c r="F1643" t="s">
        <v>25</v>
      </c>
      <c r="G1643" t="s">
        <v>22</v>
      </c>
      <c r="H1643">
        <v>1008.48</v>
      </c>
      <c r="I1643" t="str">
        <f t="shared" si="287"/>
        <v>The Mayfield Trust</v>
      </c>
      <c r="J1643" t="str">
        <f>"Infection Control Fund Payment - Round 2 Private Contractors Agency And Contracted Services Supported Living Adult Health &amp; Social Care"</f>
        <v>Infection Control Fund Payment - Round 2 Private Contractors Agency And Contracted Services Supported Living Adult Health &amp; Social Care</v>
      </c>
    </row>
    <row r="1644" spans="1:10" x14ac:dyDescent="0.35">
      <c r="A1644" t="str">
        <f t="shared" si="289"/>
        <v>NOV</v>
      </c>
      <c r="B1644" t="str">
        <f t="shared" si="283"/>
        <v>20</v>
      </c>
      <c r="C1644" t="str">
        <f t="shared" si="284"/>
        <v>2020/21</v>
      </c>
      <c r="D1644" t="str">
        <f>"SS SL 116395"</f>
        <v>SS SL 116395</v>
      </c>
      <c r="E1644" t="str">
        <f t="shared" si="285"/>
        <v>SS</v>
      </c>
      <c r="F1644" t="s">
        <v>25</v>
      </c>
      <c r="G1644" t="s">
        <v>22</v>
      </c>
      <c r="H1644">
        <v>1512.72</v>
      </c>
      <c r="I1644" t="str">
        <f t="shared" si="287"/>
        <v>The Mayfield Trust</v>
      </c>
      <c r="J1644" t="str">
        <f>"Infection Control Fund Payment - Round 2 Private Contractors Agency And Contracted Services Supported Living Adult Health &amp; Social Care"</f>
        <v>Infection Control Fund Payment - Round 2 Private Contractors Agency And Contracted Services Supported Living Adult Health &amp; Social Care</v>
      </c>
    </row>
    <row r="1645" spans="1:10" x14ac:dyDescent="0.35">
      <c r="A1645" t="str">
        <f t="shared" si="289"/>
        <v>NOV</v>
      </c>
      <c r="B1645" t="str">
        <f t="shared" si="283"/>
        <v>20</v>
      </c>
      <c r="C1645" t="str">
        <f t="shared" si="284"/>
        <v>2020/21</v>
      </c>
      <c r="D1645" t="str">
        <f>"SS SL 116130"</f>
        <v>SS SL 116130</v>
      </c>
      <c r="E1645" t="str">
        <f t="shared" si="285"/>
        <v>SS</v>
      </c>
      <c r="F1645" t="s">
        <v>25</v>
      </c>
      <c r="G1645" t="s">
        <v>22</v>
      </c>
      <c r="H1645">
        <v>8404</v>
      </c>
      <c r="I1645" t="str">
        <f>"Creative Support Ltd"</f>
        <v>Creative Support Ltd</v>
      </c>
      <c r="J1645" t="str">
        <f>"Infection Control Fund Payment - Round 2 Private Contractors Agency And Contracted Services Supported Living Adult Health &amp; Social Care"</f>
        <v>Infection Control Fund Payment - Round 2 Private Contractors Agency And Contracted Services Supported Living Adult Health &amp; Social Care</v>
      </c>
    </row>
    <row r="1646" spans="1:10" x14ac:dyDescent="0.35">
      <c r="A1646" t="str">
        <f t="shared" si="289"/>
        <v>NOV</v>
      </c>
      <c r="B1646" t="str">
        <f t="shared" si="283"/>
        <v>20</v>
      </c>
      <c r="C1646" t="str">
        <f t="shared" si="284"/>
        <v>2020/21</v>
      </c>
      <c r="D1646" t="str">
        <f>"SS CO 114195"</f>
        <v>SS CO 114195</v>
      </c>
      <c r="E1646" t="str">
        <f t="shared" si="285"/>
        <v>SS</v>
      </c>
      <c r="F1646" t="s">
        <v>25</v>
      </c>
      <c r="G1646" t="s">
        <v>22</v>
      </c>
      <c r="H1646">
        <v>2458.33</v>
      </c>
      <c r="I1646" t="str">
        <f>"Our Place"</f>
        <v>Our Place</v>
      </c>
      <c r="J1646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1647" spans="1:10" x14ac:dyDescent="0.35">
      <c r="A1647" t="str">
        <f t="shared" si="289"/>
        <v>NOV</v>
      </c>
      <c r="B1647" t="str">
        <f t="shared" si="283"/>
        <v>20</v>
      </c>
      <c r="C1647" t="str">
        <f t="shared" si="284"/>
        <v>2020/21</v>
      </c>
      <c r="D1647" t="str">
        <f>"SS CO 114195"</f>
        <v>SS CO 114195</v>
      </c>
      <c r="E1647" t="str">
        <f t="shared" si="285"/>
        <v>SS</v>
      </c>
      <c r="F1647" t="s">
        <v>25</v>
      </c>
      <c r="G1647" t="s">
        <v>22</v>
      </c>
      <c r="H1647">
        <v>2458.33</v>
      </c>
      <c r="I1647" t="str">
        <f>"Our Place"</f>
        <v>Our Place</v>
      </c>
      <c r="J1647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1648" spans="1:10" x14ac:dyDescent="0.35">
      <c r="A1648" t="str">
        <f t="shared" si="289"/>
        <v>NOV</v>
      </c>
      <c r="B1648" t="str">
        <f t="shared" si="283"/>
        <v>20</v>
      </c>
      <c r="C1648" t="str">
        <f t="shared" si="284"/>
        <v>2020/21</v>
      </c>
      <c r="D1648" t="str">
        <f>"SS AD 115963"</f>
        <v>SS AD 115963</v>
      </c>
      <c r="E1648" t="str">
        <f t="shared" si="285"/>
        <v>SS</v>
      </c>
      <c r="F1648" t="s">
        <v>25</v>
      </c>
      <c r="G1648" t="s">
        <v>22</v>
      </c>
      <c r="H1648">
        <v>14591.12</v>
      </c>
      <c r="I1648" t="str">
        <f>"Anchor Trust"</f>
        <v>Anchor Trust</v>
      </c>
      <c r="J1648" t="str">
        <f>"DoH COVID-19 Infection Control Grant - Round 2 Private Contractors Agency And Contracted Services Residential &amp; Nursing Placements (Older People"</f>
        <v>DoH COVID-19 Infection Control Grant - Round 2 Private Contractors Agency And Contracted Services Residential &amp; Nursing Placements (Older People</v>
      </c>
    </row>
    <row r="1649" spans="1:10" x14ac:dyDescent="0.35">
      <c r="A1649" t="str">
        <f t="shared" si="289"/>
        <v>NOV</v>
      </c>
      <c r="B1649" t="str">
        <f t="shared" si="283"/>
        <v>20</v>
      </c>
      <c r="C1649" t="str">
        <f t="shared" si="284"/>
        <v>2020/21</v>
      </c>
      <c r="D1649" t="str">
        <f>"SS AD 115967"</f>
        <v>SS AD 115967</v>
      </c>
      <c r="E1649" t="str">
        <f t="shared" si="285"/>
        <v>SS</v>
      </c>
      <c r="F1649" t="s">
        <v>25</v>
      </c>
      <c r="G1649" t="s">
        <v>22</v>
      </c>
      <c r="H1649">
        <v>16580.810000000001</v>
      </c>
      <c r="I1649" t="str">
        <f>"Anchor Trust"</f>
        <v>Anchor Trust</v>
      </c>
      <c r="J1649" t="str">
        <f>"DoH COVID-19 Infection Control Grant - Round 2 Private Contractors Agency And Contracted Services Residential &amp; Nursing Placements (Older People"</f>
        <v>DoH COVID-19 Infection Control Grant - Round 2 Private Contractors Agency And Contracted Services Residential &amp; Nursing Placements (Older People</v>
      </c>
    </row>
    <row r="1650" spans="1:10" x14ac:dyDescent="0.35">
      <c r="A1650" t="str">
        <f t="shared" si="289"/>
        <v>NOV</v>
      </c>
      <c r="B1650" t="str">
        <f t="shared" si="283"/>
        <v>20</v>
      </c>
      <c r="C1650" t="str">
        <f t="shared" si="284"/>
        <v>2020/21</v>
      </c>
      <c r="D1650" t="str">
        <f>"SS AD 116266"</f>
        <v>SS AD 116266</v>
      </c>
      <c r="E1650" t="str">
        <f t="shared" si="285"/>
        <v>SS</v>
      </c>
      <c r="F1650" t="s">
        <v>25</v>
      </c>
      <c r="G1650" t="s">
        <v>22</v>
      </c>
      <c r="H1650">
        <v>3979.38</v>
      </c>
      <c r="I1650" t="str">
        <f>"Overgate Hospice"</f>
        <v>Overgate Hospice</v>
      </c>
      <c r="J1650" t="str">
        <f>"DoH COVID-19 Infection Control Grant - Round 2 Private Contractors Agency And Contracted Services Residential &amp; Nursing Placements (Older People"</f>
        <v>DoH COVID-19 Infection Control Grant - Round 2 Private Contractors Agency And Contracted Services Residential &amp; Nursing Placements (Older People</v>
      </c>
    </row>
    <row r="1651" spans="1:10" x14ac:dyDescent="0.35">
      <c r="A1651" t="str">
        <f t="shared" si="289"/>
        <v>NOV</v>
      </c>
      <c r="B1651" t="str">
        <f t="shared" si="283"/>
        <v>20</v>
      </c>
      <c r="C1651" t="str">
        <f t="shared" si="284"/>
        <v>2020/21</v>
      </c>
      <c r="E1651" t="str">
        <f t="shared" si="285"/>
        <v/>
      </c>
      <c r="F1651" t="s">
        <v>25</v>
      </c>
      <c r="G1651" t="s">
        <v>22</v>
      </c>
      <c r="H1651">
        <v>40933.67</v>
      </c>
      <c r="I1651" t="str">
        <f>"Anchor Trust"</f>
        <v>Anchor Trust</v>
      </c>
      <c r="J1651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1652" spans="1:10" x14ac:dyDescent="0.35">
      <c r="A1652" t="str">
        <f t="shared" si="289"/>
        <v>NOV</v>
      </c>
      <c r="B1652" t="str">
        <f t="shared" si="283"/>
        <v>20</v>
      </c>
      <c r="C1652" t="str">
        <f t="shared" si="284"/>
        <v>2020/21</v>
      </c>
      <c r="E1652" t="str">
        <f t="shared" si="285"/>
        <v/>
      </c>
      <c r="F1652" t="s">
        <v>25</v>
      </c>
      <c r="G1652" t="s">
        <v>22</v>
      </c>
      <c r="H1652">
        <v>12453.08</v>
      </c>
      <c r="I1652" t="str">
        <f>"Anchor Trust"</f>
        <v>Anchor Trust</v>
      </c>
      <c r="J1652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1653" spans="1:10" x14ac:dyDescent="0.35">
      <c r="A1653" t="str">
        <f t="shared" si="289"/>
        <v>NOV</v>
      </c>
      <c r="B1653" t="str">
        <f t="shared" si="283"/>
        <v>20</v>
      </c>
      <c r="C1653" t="str">
        <f t="shared" si="284"/>
        <v>2020/21</v>
      </c>
      <c r="E1653" t="str">
        <f t="shared" si="285"/>
        <v/>
      </c>
      <c r="F1653" t="s">
        <v>25</v>
      </c>
      <c r="G1653" t="s">
        <v>22</v>
      </c>
      <c r="H1653">
        <v>-12680.03</v>
      </c>
      <c r="I1653" t="str">
        <f>"Anchor Trust"</f>
        <v>Anchor Trust</v>
      </c>
      <c r="J1653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1654" spans="1:10" x14ac:dyDescent="0.35">
      <c r="A1654" t="str">
        <f t="shared" si="289"/>
        <v>NOV</v>
      </c>
      <c r="B1654" t="str">
        <f t="shared" si="283"/>
        <v>20</v>
      </c>
      <c r="C1654" t="str">
        <f t="shared" si="284"/>
        <v>2020/21</v>
      </c>
      <c r="E1654" t="str">
        <f t="shared" si="285"/>
        <v/>
      </c>
      <c r="F1654" t="s">
        <v>25</v>
      </c>
      <c r="G1654" t="s">
        <v>22</v>
      </c>
      <c r="H1654">
        <v>-4604.16</v>
      </c>
      <c r="I1654" t="str">
        <f>"Anchor Trust"</f>
        <v>Anchor Trust</v>
      </c>
      <c r="J1654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1655" spans="1:10" x14ac:dyDescent="0.35">
      <c r="A1655" t="str">
        <f t="shared" si="289"/>
        <v>NOV</v>
      </c>
      <c r="B1655" t="str">
        <f t="shared" si="283"/>
        <v>20</v>
      </c>
      <c r="C1655" t="str">
        <f t="shared" si="284"/>
        <v>2020/21</v>
      </c>
      <c r="E1655" t="str">
        <f t="shared" si="285"/>
        <v/>
      </c>
      <c r="F1655" t="s">
        <v>25</v>
      </c>
      <c r="G1655" t="s">
        <v>22</v>
      </c>
      <c r="H1655">
        <v>21957.48</v>
      </c>
      <c r="I1655" t="str">
        <f>"The Mayfield Trust"</f>
        <v>The Mayfield Trust</v>
      </c>
      <c r="J1655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1656" spans="1:10" x14ac:dyDescent="0.35">
      <c r="A1656" t="str">
        <f t="shared" si="289"/>
        <v>NOV</v>
      </c>
      <c r="B1656" t="str">
        <f t="shared" si="283"/>
        <v>20</v>
      </c>
      <c r="C1656" t="str">
        <f t="shared" si="284"/>
        <v>2020/21</v>
      </c>
      <c r="E1656" t="str">
        <f t="shared" si="285"/>
        <v/>
      </c>
      <c r="F1656" t="s">
        <v>25</v>
      </c>
      <c r="G1656" t="s">
        <v>22</v>
      </c>
      <c r="H1656">
        <v>2554.12</v>
      </c>
      <c r="I1656" t="str">
        <f>"Bridgewood Trust Ltd"</f>
        <v>Bridgewood Trust Ltd</v>
      </c>
      <c r="J1656" t="str">
        <f t="shared" ref="J1656:J1661" si="290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1657" spans="1:10" x14ac:dyDescent="0.35">
      <c r="A1657" t="str">
        <f t="shared" si="289"/>
        <v>NOV</v>
      </c>
      <c r="B1657" t="str">
        <f t="shared" si="283"/>
        <v>20</v>
      </c>
      <c r="C1657" t="str">
        <f t="shared" si="284"/>
        <v>2020/21</v>
      </c>
      <c r="E1657" t="str">
        <f t="shared" si="285"/>
        <v/>
      </c>
      <c r="F1657" t="s">
        <v>25</v>
      </c>
      <c r="G1657" t="s">
        <v>22</v>
      </c>
      <c r="H1657">
        <v>13424.16</v>
      </c>
      <c r="I1657" t="str">
        <f>"Bridgewood Trust Ltd"</f>
        <v>Bridgewood Trust Ltd</v>
      </c>
      <c r="J1657" t="str">
        <f t="shared" si="290"/>
        <v>Residential Placements (Learning Disabilities)-Voluntary Home Voluntary Associations Agency And Contracted Services Residential &amp; Nursing Placem</v>
      </c>
    </row>
    <row r="1658" spans="1:10" x14ac:dyDescent="0.35">
      <c r="A1658" t="str">
        <f t="shared" si="289"/>
        <v>NOV</v>
      </c>
      <c r="B1658" t="str">
        <f t="shared" si="283"/>
        <v>20</v>
      </c>
      <c r="C1658" t="str">
        <f t="shared" si="284"/>
        <v>2020/21</v>
      </c>
      <c r="E1658" t="str">
        <f t="shared" si="285"/>
        <v/>
      </c>
      <c r="F1658" t="s">
        <v>25</v>
      </c>
      <c r="G1658" t="s">
        <v>22</v>
      </c>
      <c r="H1658">
        <v>1849.96</v>
      </c>
      <c r="I1658" t="str">
        <f>"Bridgewood Trust Ltd"</f>
        <v>Bridgewood Trust Ltd</v>
      </c>
      <c r="J1658" t="str">
        <f t="shared" si="290"/>
        <v>Residential Placements (Learning Disabilities)-Voluntary Home Voluntary Associations Agency And Contracted Services Residential &amp; Nursing Placem</v>
      </c>
    </row>
    <row r="1659" spans="1:10" x14ac:dyDescent="0.35">
      <c r="A1659" t="str">
        <f t="shared" si="289"/>
        <v>NOV</v>
      </c>
      <c r="B1659" t="str">
        <f t="shared" si="283"/>
        <v>20</v>
      </c>
      <c r="C1659" t="str">
        <f t="shared" si="284"/>
        <v>2020/21</v>
      </c>
      <c r="E1659" t="str">
        <f t="shared" si="285"/>
        <v/>
      </c>
      <c r="F1659" t="s">
        <v>25</v>
      </c>
      <c r="G1659" t="s">
        <v>22</v>
      </c>
      <c r="H1659">
        <v>2138.2399999999998</v>
      </c>
      <c r="I1659" t="str">
        <f>"Bridgewood Trust Ltd"</f>
        <v>Bridgewood Trust Ltd</v>
      </c>
      <c r="J1659" t="str">
        <f t="shared" si="290"/>
        <v>Residential Placements (Learning Disabilities)-Voluntary Home Voluntary Associations Agency And Contracted Services Residential &amp; Nursing Placem</v>
      </c>
    </row>
    <row r="1660" spans="1:10" x14ac:dyDescent="0.35">
      <c r="A1660" t="str">
        <f t="shared" si="289"/>
        <v>NOV</v>
      </c>
      <c r="B1660" t="str">
        <f t="shared" si="283"/>
        <v>20</v>
      </c>
      <c r="C1660" t="str">
        <f t="shared" si="284"/>
        <v>2020/21</v>
      </c>
      <c r="E1660" t="str">
        <f t="shared" si="285"/>
        <v/>
      </c>
      <c r="F1660" t="s">
        <v>25</v>
      </c>
      <c r="G1660" t="s">
        <v>22</v>
      </c>
      <c r="H1660">
        <v>27764.48</v>
      </c>
      <c r="I1660" t="str">
        <f>"Bridgewood Trust Ltd"</f>
        <v>Bridgewood Trust Ltd</v>
      </c>
      <c r="J1660" t="str">
        <f t="shared" si="290"/>
        <v>Residential Placements (Learning Disabilities)-Voluntary Home Voluntary Associations Agency And Contracted Services Residential &amp; Nursing Placem</v>
      </c>
    </row>
    <row r="1661" spans="1:10" x14ac:dyDescent="0.35">
      <c r="A1661" t="str">
        <f t="shared" si="289"/>
        <v>NOV</v>
      </c>
      <c r="B1661" t="str">
        <f t="shared" si="283"/>
        <v>20</v>
      </c>
      <c r="C1661" t="str">
        <f t="shared" si="284"/>
        <v>2020/21</v>
      </c>
      <c r="E1661" t="str">
        <f t="shared" si="285"/>
        <v/>
      </c>
      <c r="F1661" t="s">
        <v>25</v>
      </c>
      <c r="G1661" t="s">
        <v>22</v>
      </c>
      <c r="H1661">
        <v>6882.04</v>
      </c>
      <c r="I1661" t="str">
        <f>"The Mayfield Trust"</f>
        <v>The Mayfield Trust</v>
      </c>
      <c r="J1661" t="str">
        <f t="shared" si="290"/>
        <v>Residential Placements (Learning Disabilities)-Voluntary Home Voluntary Associations Agency And Contracted Services Residential &amp; Nursing Placem</v>
      </c>
    </row>
    <row r="1662" spans="1:10" x14ac:dyDescent="0.35">
      <c r="A1662" t="str">
        <f t="shared" si="289"/>
        <v>NOV</v>
      </c>
      <c r="B1662" t="str">
        <f t="shared" si="283"/>
        <v>20</v>
      </c>
      <c r="C1662" t="str">
        <f t="shared" si="284"/>
        <v>2020/21</v>
      </c>
      <c r="D1662" t="str">
        <f>"SS AD 116005"</f>
        <v>SS AD 116005</v>
      </c>
      <c r="E1662" t="str">
        <f t="shared" si="285"/>
        <v>SS</v>
      </c>
      <c r="F1662" t="s">
        <v>25</v>
      </c>
      <c r="G1662" t="s">
        <v>22</v>
      </c>
      <c r="H1662">
        <v>1658.08</v>
      </c>
      <c r="I1662" t="str">
        <f>"Bridgewood Trust Ltd"</f>
        <v>Bridgewood Trust Ltd</v>
      </c>
      <c r="J1662" t="str">
        <f t="shared" ref="J1662:J1667" si="291">"DoH COVID-19 Infection Control Grant - Round 2 Private Contractors Agency And Contracted Services Residential &amp; Nursing Placements (Learning Dis"</f>
        <v>DoH COVID-19 Infection Control Grant - Round 2 Private Contractors Agency And Contracted Services Residential &amp; Nursing Placements (Learning Dis</v>
      </c>
    </row>
    <row r="1663" spans="1:10" x14ac:dyDescent="0.35">
      <c r="A1663" t="str">
        <f t="shared" si="289"/>
        <v>NOV</v>
      </c>
      <c r="B1663" t="str">
        <f t="shared" si="283"/>
        <v>20</v>
      </c>
      <c r="C1663" t="str">
        <f t="shared" si="284"/>
        <v>2020/21</v>
      </c>
      <c r="D1663" t="str">
        <f>"SS AD 116005"</f>
        <v>SS AD 116005</v>
      </c>
      <c r="E1663" t="str">
        <f t="shared" si="285"/>
        <v>SS</v>
      </c>
      <c r="F1663" t="s">
        <v>25</v>
      </c>
      <c r="G1663" t="s">
        <v>22</v>
      </c>
      <c r="H1663">
        <v>3979.4</v>
      </c>
      <c r="I1663" t="str">
        <f>"Bridgewood Trust Ltd"</f>
        <v>Bridgewood Trust Ltd</v>
      </c>
      <c r="J1663" t="str">
        <f t="shared" si="291"/>
        <v>DoH COVID-19 Infection Control Grant - Round 2 Private Contractors Agency And Contracted Services Residential &amp; Nursing Placements (Learning Dis</v>
      </c>
    </row>
    <row r="1664" spans="1:10" x14ac:dyDescent="0.35">
      <c r="A1664" t="str">
        <f t="shared" si="289"/>
        <v>NOV</v>
      </c>
      <c r="B1664" t="str">
        <f t="shared" si="283"/>
        <v>20</v>
      </c>
      <c r="C1664" t="str">
        <f t="shared" si="284"/>
        <v>2020/21</v>
      </c>
      <c r="D1664" t="str">
        <f>"SS AD 116005"</f>
        <v>SS AD 116005</v>
      </c>
      <c r="E1664" t="str">
        <f t="shared" si="285"/>
        <v>SS</v>
      </c>
      <c r="F1664" t="s">
        <v>25</v>
      </c>
      <c r="G1664" t="s">
        <v>22</v>
      </c>
      <c r="H1664">
        <v>1989.7</v>
      </c>
      <c r="I1664" t="str">
        <f>"Bridgewood Trust Ltd"</f>
        <v>Bridgewood Trust Ltd</v>
      </c>
      <c r="J1664" t="str">
        <f t="shared" si="291"/>
        <v>DoH COVID-19 Infection Control Grant - Round 2 Private Contractors Agency And Contracted Services Residential &amp; Nursing Placements (Learning Dis</v>
      </c>
    </row>
    <row r="1665" spans="1:10" x14ac:dyDescent="0.35">
      <c r="A1665" t="str">
        <f t="shared" si="289"/>
        <v>NOV</v>
      </c>
      <c r="B1665" t="str">
        <f t="shared" si="283"/>
        <v>20</v>
      </c>
      <c r="C1665" t="str">
        <f t="shared" si="284"/>
        <v>2020/21</v>
      </c>
      <c r="D1665" t="str">
        <f>"SS AD 116006"</f>
        <v>SS AD 116006</v>
      </c>
      <c r="E1665" t="str">
        <f t="shared" si="285"/>
        <v>SS</v>
      </c>
      <c r="F1665" t="s">
        <v>25</v>
      </c>
      <c r="G1665" t="s">
        <v>22</v>
      </c>
      <c r="H1665">
        <v>3316.16</v>
      </c>
      <c r="I1665" t="str">
        <f>"The Mayfield Trust"</f>
        <v>The Mayfield Trust</v>
      </c>
      <c r="J1665" t="str">
        <f t="shared" si="291"/>
        <v>DoH COVID-19 Infection Control Grant - Round 2 Private Contractors Agency And Contracted Services Residential &amp; Nursing Placements (Learning Dis</v>
      </c>
    </row>
    <row r="1666" spans="1:10" x14ac:dyDescent="0.35">
      <c r="A1666" t="str">
        <f t="shared" si="289"/>
        <v>NOV</v>
      </c>
      <c r="B1666" t="str">
        <f t="shared" ref="B1666:B1729" si="292">"20"</f>
        <v>20</v>
      </c>
      <c r="C1666" t="str">
        <f t="shared" ref="C1666:C1729" si="293">"2020/21"</f>
        <v>2020/21</v>
      </c>
      <c r="D1666" t="str">
        <f>"SS AD 116007"</f>
        <v>SS AD 116007</v>
      </c>
      <c r="E1666" t="str">
        <f t="shared" ref="E1666:E1729" si="294">LEFT(D1666,2)</f>
        <v>SS</v>
      </c>
      <c r="F1666" t="s">
        <v>25</v>
      </c>
      <c r="G1666" t="s">
        <v>22</v>
      </c>
      <c r="H1666">
        <v>994.85</v>
      </c>
      <c r="I1666" t="str">
        <f>"The Next Step Trust"</f>
        <v>The Next Step Trust</v>
      </c>
      <c r="J1666" t="str">
        <f t="shared" si="291"/>
        <v>DoH COVID-19 Infection Control Grant - Round 2 Private Contractors Agency And Contracted Services Residential &amp; Nursing Placements (Learning Dis</v>
      </c>
    </row>
    <row r="1667" spans="1:10" x14ac:dyDescent="0.35">
      <c r="A1667" t="str">
        <f t="shared" si="289"/>
        <v>NOV</v>
      </c>
      <c r="B1667" t="str">
        <f t="shared" si="292"/>
        <v>20</v>
      </c>
      <c r="C1667" t="str">
        <f t="shared" si="293"/>
        <v>2020/21</v>
      </c>
      <c r="D1667" t="str">
        <f>"SS HC 116140"</f>
        <v>SS HC 116140</v>
      </c>
      <c r="E1667" t="str">
        <f t="shared" si="294"/>
        <v>SS</v>
      </c>
      <c r="F1667" t="s">
        <v>25</v>
      </c>
      <c r="G1667" t="s">
        <v>22</v>
      </c>
      <c r="H1667">
        <v>336.16</v>
      </c>
      <c r="I1667" t="str">
        <f>"The Next Step Trust"</f>
        <v>The Next Step Trust</v>
      </c>
      <c r="J1667" t="str">
        <f t="shared" si="291"/>
        <v>DoH COVID-19 Infection Control Grant - Round 2 Private Contractors Agency And Contracted Services Residential &amp; Nursing Placements (Learning Dis</v>
      </c>
    </row>
    <row r="1668" spans="1:10" x14ac:dyDescent="0.35">
      <c r="A1668" t="str">
        <f t="shared" si="289"/>
        <v>NOV</v>
      </c>
      <c r="B1668" t="str">
        <f t="shared" si="292"/>
        <v>20</v>
      </c>
      <c r="C1668" t="str">
        <f t="shared" si="293"/>
        <v>2020/21</v>
      </c>
      <c r="E1668" t="str">
        <f t="shared" si="294"/>
        <v/>
      </c>
      <c r="F1668" t="s">
        <v>25</v>
      </c>
      <c r="G1668" t="s">
        <v>22</v>
      </c>
      <c r="H1668">
        <v>34349.06</v>
      </c>
      <c r="I1668" t="str">
        <f>"Henshaws Society For Blind People re Red Admiral"</f>
        <v>Henshaws Society For Blind People re Red Admiral</v>
      </c>
      <c r="J1668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1669" spans="1:10" x14ac:dyDescent="0.35">
      <c r="A1669" t="str">
        <f t="shared" si="289"/>
        <v>NOV</v>
      </c>
      <c r="B1669" t="str">
        <f t="shared" si="292"/>
        <v>20</v>
      </c>
      <c r="C1669" t="str">
        <f t="shared" si="293"/>
        <v>2020/21</v>
      </c>
      <c r="E1669" t="str">
        <f t="shared" si="294"/>
        <v/>
      </c>
      <c r="F1669" t="s">
        <v>25</v>
      </c>
      <c r="G1669" t="s">
        <v>22</v>
      </c>
      <c r="H1669">
        <v>-1269</v>
      </c>
      <c r="I1669" t="str">
        <f>"The Mayfield Trust"</f>
        <v>The Mayfield Trust</v>
      </c>
      <c r="J1669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1670" spans="1:10" x14ac:dyDescent="0.35">
      <c r="A1670" t="str">
        <f t="shared" si="289"/>
        <v>NOV</v>
      </c>
      <c r="B1670" t="str">
        <f t="shared" si="292"/>
        <v>20</v>
      </c>
      <c r="C1670" t="str">
        <f t="shared" si="293"/>
        <v>2020/21</v>
      </c>
      <c r="E1670" t="str">
        <f t="shared" si="294"/>
        <v/>
      </c>
      <c r="F1670" t="s">
        <v>25</v>
      </c>
      <c r="G1670" t="s">
        <v>22</v>
      </c>
      <c r="H1670">
        <v>-423</v>
      </c>
      <c r="I1670" t="str">
        <f>"Bridgewood Trust Ltd"</f>
        <v>Bridgewood Trust Ltd</v>
      </c>
      <c r="J1670" t="str">
        <f t="shared" ref="J1670:J1676" si="295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1671" spans="1:10" x14ac:dyDescent="0.35">
      <c r="A1671" t="str">
        <f t="shared" si="289"/>
        <v>NOV</v>
      </c>
      <c r="B1671" t="str">
        <f t="shared" si="292"/>
        <v>20</v>
      </c>
      <c r="C1671" t="str">
        <f t="shared" si="293"/>
        <v>2020/21</v>
      </c>
      <c r="E1671" t="str">
        <f t="shared" si="294"/>
        <v/>
      </c>
      <c r="F1671" t="s">
        <v>25</v>
      </c>
      <c r="G1671" t="s">
        <v>22</v>
      </c>
      <c r="H1671">
        <v>-1692</v>
      </c>
      <c r="I1671" t="str">
        <f>"Bridgewood Trust Ltd"</f>
        <v>Bridgewood Trust Ltd</v>
      </c>
      <c r="J1671" t="str">
        <f t="shared" si="295"/>
        <v>Residential - Income Residential Placements Customer And Client Receipts Income Residential &amp; Nursing Placements (Learning Dis) Adult Health &amp; S</v>
      </c>
    </row>
    <row r="1672" spans="1:10" x14ac:dyDescent="0.35">
      <c r="A1672" t="str">
        <f t="shared" si="289"/>
        <v>NOV</v>
      </c>
      <c r="B1672" t="str">
        <f t="shared" si="292"/>
        <v>20</v>
      </c>
      <c r="C1672" t="str">
        <f t="shared" si="293"/>
        <v>2020/21</v>
      </c>
      <c r="E1672" t="str">
        <f t="shared" si="294"/>
        <v/>
      </c>
      <c r="F1672" t="s">
        <v>25</v>
      </c>
      <c r="G1672" t="s">
        <v>22</v>
      </c>
      <c r="H1672">
        <v>-595.4</v>
      </c>
      <c r="I1672" t="str">
        <f>"Bridgewood Trust Ltd"</f>
        <v>Bridgewood Trust Ltd</v>
      </c>
      <c r="J1672" t="str">
        <f t="shared" si="295"/>
        <v>Residential - Income Residential Placements Customer And Client Receipts Income Residential &amp; Nursing Placements (Learning Dis) Adult Health &amp; S</v>
      </c>
    </row>
    <row r="1673" spans="1:10" x14ac:dyDescent="0.35">
      <c r="A1673" t="str">
        <f t="shared" si="289"/>
        <v>NOV</v>
      </c>
      <c r="B1673" t="str">
        <f t="shared" si="292"/>
        <v>20</v>
      </c>
      <c r="C1673" t="str">
        <f t="shared" si="293"/>
        <v>2020/21</v>
      </c>
      <c r="E1673" t="str">
        <f t="shared" si="294"/>
        <v/>
      </c>
      <c r="F1673" t="s">
        <v>25</v>
      </c>
      <c r="G1673" t="s">
        <v>22</v>
      </c>
      <c r="H1673">
        <v>-423</v>
      </c>
      <c r="I1673" t="str">
        <f>"Bridgewood Trust Ltd"</f>
        <v>Bridgewood Trust Ltd</v>
      </c>
      <c r="J1673" t="str">
        <f t="shared" si="295"/>
        <v>Residential - Income Residential Placements Customer And Client Receipts Income Residential &amp; Nursing Placements (Learning Dis) Adult Health &amp; S</v>
      </c>
    </row>
    <row r="1674" spans="1:10" x14ac:dyDescent="0.35">
      <c r="A1674" t="str">
        <f t="shared" si="289"/>
        <v>NOV</v>
      </c>
      <c r="B1674" t="str">
        <f t="shared" si="292"/>
        <v>20</v>
      </c>
      <c r="C1674" t="str">
        <f t="shared" si="293"/>
        <v>2020/21</v>
      </c>
      <c r="E1674" t="str">
        <f t="shared" si="294"/>
        <v/>
      </c>
      <c r="F1674" t="s">
        <v>25</v>
      </c>
      <c r="G1674" t="s">
        <v>22</v>
      </c>
      <c r="H1674">
        <v>-4483.72</v>
      </c>
      <c r="I1674" t="str">
        <f>"Bridgewood Trust Ltd"</f>
        <v>Bridgewood Trust Ltd</v>
      </c>
      <c r="J1674" t="str">
        <f t="shared" si="295"/>
        <v>Residential - Income Residential Placements Customer And Client Receipts Income Residential &amp; Nursing Placements (Learning Dis) Adult Health &amp; S</v>
      </c>
    </row>
    <row r="1675" spans="1:10" x14ac:dyDescent="0.35">
      <c r="A1675" t="str">
        <f t="shared" si="289"/>
        <v>NOV</v>
      </c>
      <c r="B1675" t="str">
        <f t="shared" si="292"/>
        <v>20</v>
      </c>
      <c r="C1675" t="str">
        <f t="shared" si="293"/>
        <v>2020/21</v>
      </c>
      <c r="E1675" t="str">
        <f t="shared" si="294"/>
        <v/>
      </c>
      <c r="F1675" t="s">
        <v>25</v>
      </c>
      <c r="G1675" t="s">
        <v>22</v>
      </c>
      <c r="H1675">
        <v>-459</v>
      </c>
      <c r="I1675" t="str">
        <f>"The Mayfield Trust"</f>
        <v>The Mayfield Trust</v>
      </c>
      <c r="J1675" t="str">
        <f t="shared" si="295"/>
        <v>Residential - Income Residential Placements Customer And Client Receipts Income Residential &amp; Nursing Placements (Learning Dis) Adult Health &amp; S</v>
      </c>
    </row>
    <row r="1676" spans="1:10" x14ac:dyDescent="0.35">
      <c r="A1676" t="str">
        <f t="shared" si="289"/>
        <v>NOV</v>
      </c>
      <c r="B1676" t="str">
        <f t="shared" si="292"/>
        <v>20</v>
      </c>
      <c r="C1676" t="str">
        <f t="shared" si="293"/>
        <v>2020/21</v>
      </c>
      <c r="E1676" t="str">
        <f t="shared" si="294"/>
        <v/>
      </c>
      <c r="F1676" t="s">
        <v>25</v>
      </c>
      <c r="G1676" t="s">
        <v>22</v>
      </c>
      <c r="H1676">
        <v>-25005.7</v>
      </c>
      <c r="I1676" t="str">
        <f>"Henshaws Society For Blind People re Red Admiral"</f>
        <v>Henshaws Society For Blind People re Red Admiral</v>
      </c>
      <c r="J1676" t="str">
        <f t="shared" si="295"/>
        <v>Residential - Income Residential Placements Customer And Client Receipts Income Residential &amp; Nursing Placements (Learning Dis) Adult Health &amp; S</v>
      </c>
    </row>
    <row r="1677" spans="1:10" x14ac:dyDescent="0.35">
      <c r="A1677" t="str">
        <f t="shared" si="289"/>
        <v>NOV</v>
      </c>
      <c r="B1677" t="str">
        <f t="shared" si="292"/>
        <v>20</v>
      </c>
      <c r="C1677" t="str">
        <f t="shared" si="293"/>
        <v>2020/21</v>
      </c>
      <c r="D1677" t="str">
        <f>"SS SL 114855"</f>
        <v>SS SL 114855</v>
      </c>
      <c r="E1677" t="str">
        <f t="shared" si="294"/>
        <v>SS</v>
      </c>
      <c r="F1677" t="s">
        <v>25</v>
      </c>
      <c r="G1677" t="s">
        <v>22</v>
      </c>
      <c r="H1677">
        <v>2639.4</v>
      </c>
      <c r="I1677" t="str">
        <f>"The Mayfield Trust"</f>
        <v>The Mayfield Trust</v>
      </c>
      <c r="J1677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1678" spans="1:10" x14ac:dyDescent="0.35">
      <c r="A1678" t="str">
        <f t="shared" si="289"/>
        <v>NOV</v>
      </c>
      <c r="B1678" t="str">
        <f t="shared" si="292"/>
        <v>20</v>
      </c>
      <c r="C1678" t="str">
        <f t="shared" si="293"/>
        <v>2020/21</v>
      </c>
      <c r="D1678" t="str">
        <f>"SS SL 114855"</f>
        <v>SS SL 114855</v>
      </c>
      <c r="E1678" t="str">
        <f t="shared" si="294"/>
        <v>SS</v>
      </c>
      <c r="F1678" t="s">
        <v>25</v>
      </c>
      <c r="G1678" t="s">
        <v>22</v>
      </c>
      <c r="H1678">
        <v>800</v>
      </c>
      <c r="I1678" t="str">
        <f>"The Mayfield Trust"</f>
        <v>The Mayfield Trust</v>
      </c>
      <c r="J1678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1679" spans="1:10" x14ac:dyDescent="0.35">
      <c r="A1679" t="str">
        <f t="shared" si="289"/>
        <v>NOV</v>
      </c>
      <c r="B1679" t="str">
        <f t="shared" si="292"/>
        <v>20</v>
      </c>
      <c r="C1679" t="str">
        <f t="shared" si="293"/>
        <v>2020/21</v>
      </c>
      <c r="D1679" t="str">
        <f>"SS SL 114855"</f>
        <v>SS SL 114855</v>
      </c>
      <c r="E1679" t="str">
        <f t="shared" si="294"/>
        <v>SS</v>
      </c>
      <c r="F1679" t="s">
        <v>25</v>
      </c>
      <c r="G1679" t="s">
        <v>22</v>
      </c>
      <c r="H1679">
        <v>376.11</v>
      </c>
      <c r="I1679" t="str">
        <f>"The Mayfield Trust"</f>
        <v>The Mayfield Trust</v>
      </c>
      <c r="J1679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1680" spans="1:10" x14ac:dyDescent="0.35">
      <c r="A1680" t="str">
        <f t="shared" si="289"/>
        <v>NOV</v>
      </c>
      <c r="B1680" t="str">
        <f t="shared" si="292"/>
        <v>20</v>
      </c>
      <c r="C1680" t="str">
        <f t="shared" si="293"/>
        <v>2020/21</v>
      </c>
      <c r="D1680" t="str">
        <f>"SS SL 114855"</f>
        <v>SS SL 114855</v>
      </c>
      <c r="E1680" t="str">
        <f t="shared" si="294"/>
        <v>SS</v>
      </c>
      <c r="F1680" t="s">
        <v>25</v>
      </c>
      <c r="G1680" t="s">
        <v>22</v>
      </c>
      <c r="H1680">
        <v>2969.33</v>
      </c>
      <c r="I1680" t="str">
        <f>"The Mayfield Trust"</f>
        <v>The Mayfield Trust</v>
      </c>
      <c r="J1680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1681" spans="1:10" x14ac:dyDescent="0.35">
      <c r="A1681" t="str">
        <f t="shared" si="289"/>
        <v>NOV</v>
      </c>
      <c r="B1681" t="str">
        <f t="shared" si="292"/>
        <v>20</v>
      </c>
      <c r="C1681" t="str">
        <f t="shared" si="293"/>
        <v>2020/21</v>
      </c>
      <c r="D1681" t="str">
        <f>"SS CO 113260"</f>
        <v>SS CO 113260</v>
      </c>
      <c r="E1681" t="str">
        <f t="shared" si="294"/>
        <v>SS</v>
      </c>
      <c r="F1681" t="s">
        <v>25</v>
      </c>
      <c r="G1681" t="s">
        <v>22</v>
      </c>
      <c r="H1681">
        <v>15922.58</v>
      </c>
      <c r="I1681" t="str">
        <f>"Alzheimers Society"</f>
        <v>Alzheimers Society</v>
      </c>
      <c r="J1681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1682" spans="1:10" x14ac:dyDescent="0.35">
      <c r="A1682" t="str">
        <f t="shared" si="289"/>
        <v>NOV</v>
      </c>
      <c r="B1682" t="str">
        <f t="shared" si="292"/>
        <v>20</v>
      </c>
      <c r="C1682" t="str">
        <f t="shared" si="293"/>
        <v>2020/21</v>
      </c>
      <c r="D1682" t="str">
        <f>"SS CO 113850"</f>
        <v>SS CO 113850</v>
      </c>
      <c r="E1682" t="str">
        <f t="shared" si="294"/>
        <v>SS</v>
      </c>
      <c r="F1682" t="s">
        <v>25</v>
      </c>
      <c r="G1682" t="s">
        <v>22</v>
      </c>
      <c r="H1682">
        <v>18016.669999999998</v>
      </c>
      <c r="I1682" t="str">
        <f>"Cloverleaf Advocacy 2000 Ltd"</f>
        <v>Cloverleaf Advocacy 2000 Ltd</v>
      </c>
      <c r="J1682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1683" spans="1:10" x14ac:dyDescent="0.35">
      <c r="A1683" t="str">
        <f t="shared" si="289"/>
        <v>NOV</v>
      </c>
      <c r="B1683" t="str">
        <f t="shared" si="292"/>
        <v>20</v>
      </c>
      <c r="C1683" t="str">
        <f t="shared" si="293"/>
        <v>2020/21</v>
      </c>
      <c r="D1683" t="str">
        <f t="shared" ref="D1683:D1689" si="296">"SS CO 113368"</f>
        <v>SS CO 113368</v>
      </c>
      <c r="E1683" t="str">
        <f t="shared" si="294"/>
        <v>SS</v>
      </c>
      <c r="F1683" t="s">
        <v>25</v>
      </c>
      <c r="G1683" t="s">
        <v>22</v>
      </c>
      <c r="H1683">
        <v>1112.01</v>
      </c>
      <c r="I1683" t="str">
        <f t="shared" ref="I1683:I1689" si="297">"Anchor Trust"</f>
        <v>Anchor Trust</v>
      </c>
      <c r="J1683" t="str">
        <f t="shared" ref="J1683:J1689" si="298"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684" spans="1:10" x14ac:dyDescent="0.35">
      <c r="A1684" t="str">
        <f t="shared" ref="A1684:A1694" si="299">"NOV"</f>
        <v>NOV</v>
      </c>
      <c r="B1684" t="str">
        <f t="shared" si="292"/>
        <v>20</v>
      </c>
      <c r="C1684" t="str">
        <f t="shared" si="293"/>
        <v>2020/21</v>
      </c>
      <c r="D1684" t="str">
        <f t="shared" si="296"/>
        <v>SS CO 113368</v>
      </c>
      <c r="E1684" t="str">
        <f t="shared" si="294"/>
        <v>SS</v>
      </c>
      <c r="F1684" t="s">
        <v>25</v>
      </c>
      <c r="G1684" t="s">
        <v>22</v>
      </c>
      <c r="H1684">
        <v>4448.04</v>
      </c>
      <c r="I1684" t="str">
        <f t="shared" si="297"/>
        <v>Anchor Trust</v>
      </c>
      <c r="J1684" t="str">
        <f t="shared" si="298"/>
        <v>Transitional Residential Beds Contract Private Contractors Agency And Contracted Services Older People Commissioning Budget Adult Health &amp; Socia</v>
      </c>
    </row>
    <row r="1685" spans="1:10" x14ac:dyDescent="0.35">
      <c r="A1685" t="str">
        <f t="shared" si="299"/>
        <v>NOV</v>
      </c>
      <c r="B1685" t="str">
        <f t="shared" si="292"/>
        <v>20</v>
      </c>
      <c r="C1685" t="str">
        <f t="shared" si="293"/>
        <v>2020/21</v>
      </c>
      <c r="D1685" t="str">
        <f t="shared" si="296"/>
        <v>SS CO 113368</v>
      </c>
      <c r="E1685" t="str">
        <f t="shared" si="294"/>
        <v>SS</v>
      </c>
      <c r="F1685" t="s">
        <v>25</v>
      </c>
      <c r="G1685" t="s">
        <v>22</v>
      </c>
      <c r="H1685">
        <v>4928.22</v>
      </c>
      <c r="I1685" t="str">
        <f t="shared" si="297"/>
        <v>Anchor Trust</v>
      </c>
      <c r="J1685" t="str">
        <f t="shared" si="298"/>
        <v>Transitional Residential Beds Contract Private Contractors Agency And Contracted Services Older People Commissioning Budget Adult Health &amp; Socia</v>
      </c>
    </row>
    <row r="1686" spans="1:10" x14ac:dyDescent="0.35">
      <c r="A1686" t="str">
        <f t="shared" si="299"/>
        <v>NOV</v>
      </c>
      <c r="B1686" t="str">
        <f t="shared" si="292"/>
        <v>20</v>
      </c>
      <c r="C1686" t="str">
        <f t="shared" si="293"/>
        <v>2020/21</v>
      </c>
      <c r="D1686" t="str">
        <f t="shared" si="296"/>
        <v>SS CO 113368</v>
      </c>
      <c r="E1686" t="str">
        <f t="shared" si="294"/>
        <v>SS</v>
      </c>
      <c r="F1686" t="s">
        <v>25</v>
      </c>
      <c r="G1686" t="s">
        <v>22</v>
      </c>
      <c r="H1686">
        <v>-40.51</v>
      </c>
      <c r="I1686" t="str">
        <f t="shared" si="297"/>
        <v>Anchor Trust</v>
      </c>
      <c r="J1686" t="str">
        <f t="shared" si="298"/>
        <v>Transitional Residential Beds Contract Private Contractors Agency And Contracted Services Older People Commissioning Budget Adult Health &amp; Socia</v>
      </c>
    </row>
    <row r="1687" spans="1:10" x14ac:dyDescent="0.35">
      <c r="A1687" t="str">
        <f t="shared" si="299"/>
        <v>NOV</v>
      </c>
      <c r="B1687" t="str">
        <f t="shared" si="292"/>
        <v>20</v>
      </c>
      <c r="C1687" t="str">
        <f t="shared" si="293"/>
        <v>2020/21</v>
      </c>
      <c r="D1687" t="str">
        <f t="shared" si="296"/>
        <v>SS CO 113368</v>
      </c>
      <c r="E1687" t="str">
        <f t="shared" si="294"/>
        <v>SS</v>
      </c>
      <c r="F1687" t="s">
        <v>25</v>
      </c>
      <c r="G1687" t="s">
        <v>22</v>
      </c>
      <c r="H1687">
        <v>1735.25</v>
      </c>
      <c r="I1687" t="str">
        <f t="shared" si="297"/>
        <v>Anchor Trust</v>
      </c>
      <c r="J1687" t="str">
        <f t="shared" si="298"/>
        <v>Transitional Residential Beds Contract Private Contractors Agency And Contracted Services Older People Commissioning Budget Adult Health &amp; Socia</v>
      </c>
    </row>
    <row r="1688" spans="1:10" x14ac:dyDescent="0.35">
      <c r="A1688" t="str">
        <f t="shared" si="299"/>
        <v>NOV</v>
      </c>
      <c r="B1688" t="str">
        <f t="shared" si="292"/>
        <v>20</v>
      </c>
      <c r="C1688" t="str">
        <f t="shared" si="293"/>
        <v>2020/21</v>
      </c>
      <c r="D1688" t="str">
        <f t="shared" si="296"/>
        <v>SS CO 113368</v>
      </c>
      <c r="E1688" t="str">
        <f t="shared" si="294"/>
        <v>SS</v>
      </c>
      <c r="F1688" t="s">
        <v>25</v>
      </c>
      <c r="G1688" t="s">
        <v>22</v>
      </c>
      <c r="H1688">
        <v>2190.3200000000002</v>
      </c>
      <c r="I1688" t="str">
        <f t="shared" si="297"/>
        <v>Anchor Trust</v>
      </c>
      <c r="J1688" t="str">
        <f t="shared" si="298"/>
        <v>Transitional Residential Beds Contract Private Contractors Agency And Contracted Services Older People Commissioning Budget Adult Health &amp; Socia</v>
      </c>
    </row>
    <row r="1689" spans="1:10" x14ac:dyDescent="0.35">
      <c r="A1689" t="str">
        <f t="shared" si="299"/>
        <v>NOV</v>
      </c>
      <c r="B1689" t="str">
        <f t="shared" si="292"/>
        <v>20</v>
      </c>
      <c r="C1689" t="str">
        <f t="shared" si="293"/>
        <v>2020/21</v>
      </c>
      <c r="D1689" t="str">
        <f t="shared" si="296"/>
        <v>SS CO 113368</v>
      </c>
      <c r="E1689" t="str">
        <f t="shared" si="294"/>
        <v>SS</v>
      </c>
      <c r="F1689" t="s">
        <v>25</v>
      </c>
      <c r="G1689" t="s">
        <v>22</v>
      </c>
      <c r="H1689">
        <v>6570.96</v>
      </c>
      <c r="I1689" t="str">
        <f t="shared" si="297"/>
        <v>Anchor Trust</v>
      </c>
      <c r="J1689" t="str">
        <f t="shared" si="298"/>
        <v>Transitional Residential Beds Contract Private Contractors Agency And Contracted Services Older People Commissioning Budget Adult Health &amp; Socia</v>
      </c>
    </row>
    <row r="1690" spans="1:10" x14ac:dyDescent="0.35">
      <c r="A1690" t="str">
        <f t="shared" si="299"/>
        <v>NOV</v>
      </c>
      <c r="B1690" t="str">
        <f t="shared" si="292"/>
        <v>20</v>
      </c>
      <c r="C1690" t="str">
        <f t="shared" si="293"/>
        <v>2020/21</v>
      </c>
      <c r="D1690" t="str">
        <f>"SS CO 113367"</f>
        <v>SS CO 113367</v>
      </c>
      <c r="E1690" t="str">
        <f t="shared" si="294"/>
        <v>SS</v>
      </c>
      <c r="F1690" t="s">
        <v>25</v>
      </c>
      <c r="G1690" t="s">
        <v>22</v>
      </c>
      <c r="H1690">
        <v>5708.2</v>
      </c>
      <c r="I1690" t="str">
        <f>"Cloverleaf Advocacy 2000 Ltd"</f>
        <v>Cloverleaf Advocacy 2000 Ltd</v>
      </c>
      <c r="J1690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1691" spans="1:10" x14ac:dyDescent="0.35">
      <c r="A1691" t="str">
        <f t="shared" si="299"/>
        <v>NOV</v>
      </c>
      <c r="B1691" t="str">
        <f t="shared" si="292"/>
        <v>20</v>
      </c>
      <c r="C1691" t="str">
        <f t="shared" si="293"/>
        <v>2020/21</v>
      </c>
      <c r="D1691" t="str">
        <f>"SS CO 112761"</f>
        <v>SS CO 112761</v>
      </c>
      <c r="E1691" t="str">
        <f t="shared" si="294"/>
        <v>SS</v>
      </c>
      <c r="F1691" t="s">
        <v>25</v>
      </c>
      <c r="G1691" t="s">
        <v>22</v>
      </c>
      <c r="H1691">
        <v>7402.25</v>
      </c>
      <c r="I1691" t="str">
        <f>"The Stroke Association"</f>
        <v>The Stroke Association</v>
      </c>
      <c r="J1691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1692" spans="1:10" x14ac:dyDescent="0.35">
      <c r="A1692" t="str">
        <f t="shared" si="299"/>
        <v>NOV</v>
      </c>
      <c r="B1692" t="str">
        <f t="shared" si="292"/>
        <v>20</v>
      </c>
      <c r="C1692" t="str">
        <f t="shared" si="293"/>
        <v>2020/21</v>
      </c>
      <c r="D1692" t="str">
        <f>"EH WD 036407"</f>
        <v>EH WD 036407</v>
      </c>
      <c r="E1692" t="str">
        <f t="shared" si="294"/>
        <v>EH</v>
      </c>
      <c r="F1692" t="s">
        <v>39</v>
      </c>
      <c r="G1692" t="s">
        <v>18</v>
      </c>
      <c r="H1692">
        <v>649.79999999999995</v>
      </c>
      <c r="I1692" t="str">
        <f>"British Heart Foundation"</f>
        <v>British Heart Foundation</v>
      </c>
      <c r="J1692" t="str">
        <f>"Recycling Credits Services Supplies And Services Waste Mgt - Recycling Environmental Services"</f>
        <v>Recycling Credits Services Supplies And Services Waste Mgt - Recycling Environmental Services</v>
      </c>
    </row>
    <row r="1693" spans="1:10" x14ac:dyDescent="0.35">
      <c r="A1693" t="str">
        <f t="shared" si="299"/>
        <v>NOV</v>
      </c>
      <c r="B1693" t="str">
        <f t="shared" si="292"/>
        <v>20</v>
      </c>
      <c r="C1693" t="str">
        <f t="shared" si="293"/>
        <v>2020/21</v>
      </c>
      <c r="D1693" t="str">
        <f>"EH WD 036407"</f>
        <v>EH WD 036407</v>
      </c>
      <c r="E1693" t="str">
        <f t="shared" si="294"/>
        <v>EH</v>
      </c>
      <c r="F1693" t="s">
        <v>39</v>
      </c>
      <c r="G1693" t="s">
        <v>18</v>
      </c>
      <c r="H1693">
        <v>451.47</v>
      </c>
      <c r="I1693" t="str">
        <f>"British Heart Foundation"</f>
        <v>British Heart Foundation</v>
      </c>
      <c r="J1693" t="str">
        <f>"Recycling Credits Services Supplies And Services Waste Mgt - Recycling Environmental Services"</f>
        <v>Recycling Credits Services Supplies And Services Waste Mgt - Recycling Environmental Services</v>
      </c>
    </row>
    <row r="1694" spans="1:10" x14ac:dyDescent="0.35">
      <c r="A1694" t="str">
        <f t="shared" si="299"/>
        <v>NOV</v>
      </c>
      <c r="B1694" t="str">
        <f t="shared" si="292"/>
        <v>20</v>
      </c>
      <c r="C1694" t="str">
        <f t="shared" si="293"/>
        <v>2020/21</v>
      </c>
      <c r="D1694" t="str">
        <f>"EH WD 036406"</f>
        <v>EH WD 036406</v>
      </c>
      <c r="E1694" t="str">
        <f t="shared" si="294"/>
        <v>EH</v>
      </c>
      <c r="F1694" t="s">
        <v>39</v>
      </c>
      <c r="G1694" t="s">
        <v>18</v>
      </c>
      <c r="H1694">
        <v>2521.75</v>
      </c>
      <c r="I1694" t="str">
        <f>"Overgate Hospice"</f>
        <v>Overgate Hospice</v>
      </c>
      <c r="J1694" t="str">
        <f>"Recycling Credits Services Supplies And Services Waste Mgt - Recycling Environmental Services"</f>
        <v>Recycling Credits Services Supplies And Services Waste Mgt - Recycling Environmental Services</v>
      </c>
    </row>
    <row r="1695" spans="1:10" x14ac:dyDescent="0.35">
      <c r="A1695" t="str">
        <f t="shared" ref="A1695:A1758" si="300">"DEC"</f>
        <v>DEC</v>
      </c>
      <c r="B1695" t="str">
        <f t="shared" si="292"/>
        <v>20</v>
      </c>
      <c r="C1695" t="str">
        <f t="shared" si="293"/>
        <v>2020/21</v>
      </c>
      <c r="D1695" t="str">
        <f>"LS NE 206422"</f>
        <v>LS NE 206422</v>
      </c>
      <c r="E1695" t="str">
        <f t="shared" si="294"/>
        <v>LS</v>
      </c>
      <c r="F1695" t="s">
        <v>13</v>
      </c>
      <c r="G1695" t="s">
        <v>14</v>
      </c>
      <c r="H1695">
        <v>2600</v>
      </c>
      <c r="I1695" t="str">
        <f>"Elland Charity Carnival"</f>
        <v>Elland Charity Carnival</v>
      </c>
      <c r="J1695" t="str">
        <f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1696" spans="1:10" x14ac:dyDescent="0.35">
      <c r="A1696" t="str">
        <f t="shared" si="300"/>
        <v>DEC</v>
      </c>
      <c r="B1696" t="str">
        <f t="shared" si="292"/>
        <v>20</v>
      </c>
      <c r="C1696" t="str">
        <f t="shared" si="293"/>
        <v>2020/21</v>
      </c>
      <c r="D1696" t="str">
        <f>"LS PW 206468"</f>
        <v>LS PW 206468</v>
      </c>
      <c r="E1696" t="str">
        <f t="shared" si="294"/>
        <v>LS</v>
      </c>
      <c r="F1696" t="s">
        <v>41</v>
      </c>
      <c r="G1696" t="s">
        <v>14</v>
      </c>
      <c r="H1696">
        <v>37</v>
      </c>
      <c r="I1696" t="str">
        <f>"Cremation Society of Great Britain"</f>
        <v>Cremation Society of Great Britain</v>
      </c>
      <c r="J1696" t="str">
        <f>"Crematorium Equipment Equipment Furniture And Materials Supplies And Services Park Wood Crematorium Recreation &amp; Support"</f>
        <v>Crematorium Equipment Equipment Furniture And Materials Supplies And Services Park Wood Crematorium Recreation &amp; Support</v>
      </c>
    </row>
    <row r="1697" spans="1:10" x14ac:dyDescent="0.35">
      <c r="A1697" t="str">
        <f t="shared" si="300"/>
        <v>DEC</v>
      </c>
      <c r="B1697" t="str">
        <f t="shared" si="292"/>
        <v>20</v>
      </c>
      <c r="C1697" t="str">
        <f t="shared" si="293"/>
        <v>2020/21</v>
      </c>
      <c r="D1697" t="str">
        <f>"LS CL 206256"</f>
        <v>LS CL 206256</v>
      </c>
      <c r="E1697" t="str">
        <f t="shared" si="294"/>
        <v>LS</v>
      </c>
      <c r="F1697" t="s">
        <v>15</v>
      </c>
      <c r="G1697" t="s">
        <v>14</v>
      </c>
      <c r="H1697">
        <v>39.96</v>
      </c>
      <c r="I1697" t="str">
        <f>"Hebden Bridge Local History Society"</f>
        <v>Hebden Bridge Local History Society</v>
      </c>
      <c r="J1697" t="str">
        <f>"Text Books &amp; Library Books Equipment Furniture And Materials Supplies And Services Libraries Collections Stock Libraries Info &amp; Tourism"</f>
        <v>Text Books &amp; Library Books Equipment Furniture And Materials Supplies And Services Libraries Collections Stock Libraries Info &amp; Tourism</v>
      </c>
    </row>
    <row r="1698" spans="1:10" x14ac:dyDescent="0.35">
      <c r="A1698" t="str">
        <f t="shared" si="300"/>
        <v>DEC</v>
      </c>
      <c r="B1698" t="str">
        <f t="shared" si="292"/>
        <v>20</v>
      </c>
      <c r="C1698" t="str">
        <f t="shared" si="293"/>
        <v>2020/21</v>
      </c>
      <c r="D1698" t="str">
        <f>"LS CL 206256"</f>
        <v>LS CL 206256</v>
      </c>
      <c r="E1698" t="str">
        <f t="shared" si="294"/>
        <v>LS</v>
      </c>
      <c r="F1698" t="s">
        <v>15</v>
      </c>
      <c r="G1698" t="s">
        <v>14</v>
      </c>
      <c r="H1698">
        <v>29.97</v>
      </c>
      <c r="I1698" t="str">
        <f>"Hebden Bridge Local History Society"</f>
        <v>Hebden Bridge Local History Society</v>
      </c>
      <c r="J1698" t="str">
        <f>"Book Fund Equipment Furniture &amp; Materials Equipment Furniture And Materials Supplies And Services Information Services Libraries Info &amp; Tourism"</f>
        <v>Book Fund Equipment Furniture &amp; Materials Equipment Furniture And Materials Supplies And Services Information Services Libraries Info &amp; Tourism</v>
      </c>
    </row>
    <row r="1699" spans="1:10" x14ac:dyDescent="0.35">
      <c r="A1699" t="str">
        <f t="shared" si="300"/>
        <v>DEC</v>
      </c>
      <c r="B1699" t="str">
        <f t="shared" si="292"/>
        <v>20</v>
      </c>
      <c r="C1699" t="str">
        <f t="shared" si="293"/>
        <v>2020/21</v>
      </c>
      <c r="D1699" t="str">
        <f>"TF CI 000725"</f>
        <v>TF CI 000725</v>
      </c>
      <c r="E1699" t="str">
        <f t="shared" si="294"/>
        <v>TF</v>
      </c>
      <c r="F1699" t="s">
        <v>17</v>
      </c>
      <c r="G1699" t="s">
        <v>18</v>
      </c>
      <c r="H1699">
        <v>12149.92</v>
      </c>
      <c r="I1699" t="str">
        <f>"Hebden Bridge Community Association"</f>
        <v>Hebden Bridge Community Association</v>
      </c>
      <c r="J1699" t="str">
        <f>"Rent of Hebden Br Council Offices from HBCA Rent And Rates Premises And Related Expenses Policy and Voluntary Sector Economy and Investment"</f>
        <v>Rent of Hebden Br Council Offices from HBCA Rent And Rates Premises And Related Expenses Policy and Voluntary Sector Economy and Investment</v>
      </c>
    </row>
    <row r="1700" spans="1:10" x14ac:dyDescent="0.35">
      <c r="A1700" t="str">
        <f t="shared" si="300"/>
        <v>DEC</v>
      </c>
      <c r="B1700" t="str">
        <f t="shared" si="292"/>
        <v>20</v>
      </c>
      <c r="C1700" t="str">
        <f t="shared" si="293"/>
        <v>2020/21</v>
      </c>
      <c r="D1700" t="str">
        <f>"LS GV 205008"</f>
        <v>LS GV 205008</v>
      </c>
      <c r="E1700" t="str">
        <f t="shared" si="294"/>
        <v>LS</v>
      </c>
      <c r="F1700" t="s">
        <v>17</v>
      </c>
      <c r="G1700" t="s">
        <v>18</v>
      </c>
      <c r="H1700">
        <v>3750</v>
      </c>
      <c r="I1700" t="str">
        <f>"Locality"</f>
        <v>Locality</v>
      </c>
      <c r="J1700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701" spans="1:10" x14ac:dyDescent="0.35">
      <c r="A1701" t="str">
        <f t="shared" si="300"/>
        <v>DEC</v>
      </c>
      <c r="B1701" t="str">
        <f t="shared" si="292"/>
        <v>20</v>
      </c>
      <c r="C1701" t="str">
        <f t="shared" si="293"/>
        <v>2020/21</v>
      </c>
      <c r="D1701" t="str">
        <f>"LS GV 205008"</f>
        <v>LS GV 205008</v>
      </c>
      <c r="E1701" t="str">
        <f t="shared" si="294"/>
        <v>LS</v>
      </c>
      <c r="F1701" t="s">
        <v>17</v>
      </c>
      <c r="G1701" t="s">
        <v>18</v>
      </c>
      <c r="H1701">
        <v>3750</v>
      </c>
      <c r="I1701" t="str">
        <f>"Locality"</f>
        <v>Locality</v>
      </c>
      <c r="J1701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702" spans="1:10" x14ac:dyDescent="0.35">
      <c r="A1702" t="str">
        <f t="shared" si="300"/>
        <v>DEC</v>
      </c>
      <c r="B1702" t="str">
        <f t="shared" si="292"/>
        <v>20</v>
      </c>
      <c r="C1702" t="str">
        <f t="shared" si="293"/>
        <v>2020/21</v>
      </c>
      <c r="D1702" t="str">
        <f>"TF CI 000722"</f>
        <v>TF CI 000722</v>
      </c>
      <c r="E1702" t="str">
        <f t="shared" si="294"/>
        <v>TF</v>
      </c>
      <c r="F1702" t="s">
        <v>17</v>
      </c>
      <c r="G1702" t="s">
        <v>18</v>
      </c>
      <c r="H1702">
        <v>432.83</v>
      </c>
      <c r="I1702" t="str">
        <f>"The Piece Hall Trust"</f>
        <v>The Piece Hall Trust</v>
      </c>
      <c r="J1702" t="str">
        <f>"Rent Rent And Rates Premises And Related Expenses Halifax TIC Economy and Investment"</f>
        <v>Rent Rent And Rates Premises And Related Expenses Halifax TIC Economy and Investment</v>
      </c>
    </row>
    <row r="1703" spans="1:10" x14ac:dyDescent="0.35">
      <c r="A1703" t="str">
        <f t="shared" si="300"/>
        <v>DEC</v>
      </c>
      <c r="B1703" t="str">
        <f t="shared" si="292"/>
        <v>20</v>
      </c>
      <c r="C1703" t="str">
        <f t="shared" si="293"/>
        <v>2020/21</v>
      </c>
      <c r="D1703" t="str">
        <f>"LS GV 206394"</f>
        <v>LS GV 206394</v>
      </c>
      <c r="E1703" t="str">
        <f t="shared" si="294"/>
        <v>LS</v>
      </c>
      <c r="F1703" t="s">
        <v>17</v>
      </c>
      <c r="G1703" t="s">
        <v>18</v>
      </c>
      <c r="H1703">
        <v>450</v>
      </c>
      <c r="I1703" t="str">
        <f>"Himmat Limited"</f>
        <v>Himmat Limited</v>
      </c>
      <c r="J1703" t="str">
        <f>"Active Engagement Miscellaneous Expenses Supplies And Services Business Rates Pool - Inclusive Economy Economy and Investment"</f>
        <v>Active Engagement Miscellaneous Expenses Supplies And Services Business Rates Pool - Inclusive Economy Economy and Investment</v>
      </c>
    </row>
    <row r="1704" spans="1:10" x14ac:dyDescent="0.35">
      <c r="A1704" t="str">
        <f t="shared" si="300"/>
        <v>DEC</v>
      </c>
      <c r="B1704" t="str">
        <f t="shared" si="292"/>
        <v>20</v>
      </c>
      <c r="C1704" t="str">
        <f t="shared" si="293"/>
        <v>2020/21</v>
      </c>
      <c r="D1704" t="str">
        <f>"PL RS 021007"</f>
        <v>PL RS 021007</v>
      </c>
      <c r="E1704" t="str">
        <f t="shared" si="294"/>
        <v>PL</v>
      </c>
      <c r="F1704" t="s">
        <v>42</v>
      </c>
      <c r="G1704" t="s">
        <v>18</v>
      </c>
      <c r="H1704">
        <v>50000</v>
      </c>
      <c r="I1704" t="str">
        <f>"Upper Calder Valley Renaissance (Phase 2) Ltd"</f>
        <v>Upper Calder Valley Renaissance (Phase 2) Ltd</v>
      </c>
      <c r="J1704" t="str">
        <f>"Construction costs Scheme Budget Todmorden Towns Fund Regeneration - Capital"</f>
        <v>Construction costs Scheme Budget Todmorden Towns Fund Regeneration - Capital</v>
      </c>
    </row>
    <row r="1705" spans="1:10" x14ac:dyDescent="0.35">
      <c r="A1705" t="str">
        <f t="shared" si="300"/>
        <v>DEC</v>
      </c>
      <c r="B1705" t="str">
        <f t="shared" si="292"/>
        <v>20</v>
      </c>
      <c r="C1705" t="str">
        <f t="shared" si="293"/>
        <v>2020/21</v>
      </c>
      <c r="D1705" t="str">
        <f>"SC CK 215400"</f>
        <v>SC CK 215400</v>
      </c>
      <c r="E1705" t="str">
        <f t="shared" si="294"/>
        <v>SC</v>
      </c>
      <c r="F1705" t="s">
        <v>21</v>
      </c>
      <c r="G1705" t="s">
        <v>22</v>
      </c>
      <c r="H1705">
        <v>152481.74</v>
      </c>
      <c r="I1705" t="str">
        <f>"North Halifax Partnership Ltd"</f>
        <v>North Halifax Partnership Ltd</v>
      </c>
      <c r="J1705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1706" spans="1:10" x14ac:dyDescent="0.35">
      <c r="A1706" t="str">
        <f t="shared" si="300"/>
        <v>DEC</v>
      </c>
      <c r="B1706" t="str">
        <f t="shared" si="292"/>
        <v>20</v>
      </c>
      <c r="C1706" t="str">
        <f t="shared" si="293"/>
        <v>2020/21</v>
      </c>
      <c r="D1706" t="str">
        <f>"SC CK 215517"</f>
        <v>SC CK 215517</v>
      </c>
      <c r="E1706" t="str">
        <f t="shared" si="294"/>
        <v>SC</v>
      </c>
      <c r="F1706" t="s">
        <v>21</v>
      </c>
      <c r="G1706" t="s">
        <v>22</v>
      </c>
      <c r="H1706">
        <v>184620.84</v>
      </c>
      <c r="I1706" t="str">
        <f>"Halifax Opportunities Trust"</f>
        <v>Halifax Opportunities Trust</v>
      </c>
      <c r="J1706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1707" spans="1:10" x14ac:dyDescent="0.35">
      <c r="A1707" t="str">
        <f t="shared" si="300"/>
        <v>DEC</v>
      </c>
      <c r="B1707" t="str">
        <f t="shared" si="292"/>
        <v>20</v>
      </c>
      <c r="C1707" t="str">
        <f t="shared" si="293"/>
        <v>2020/21</v>
      </c>
      <c r="D1707" t="str">
        <f>"SC CK 215517"</f>
        <v>SC CK 215517</v>
      </c>
      <c r="E1707" t="str">
        <f t="shared" si="294"/>
        <v>SC</v>
      </c>
      <c r="F1707" t="s">
        <v>21</v>
      </c>
      <c r="G1707" t="s">
        <v>22</v>
      </c>
      <c r="H1707">
        <v>184620.84</v>
      </c>
      <c r="I1707" t="str">
        <f>"Halifax Opportunities Trust"</f>
        <v>Halifax Opportunities Trust</v>
      </c>
      <c r="J1707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1708" spans="1:10" x14ac:dyDescent="0.35">
      <c r="A1708" t="str">
        <f t="shared" si="300"/>
        <v>DEC</v>
      </c>
      <c r="B1708" t="str">
        <f t="shared" si="292"/>
        <v>20</v>
      </c>
      <c r="C1708" t="str">
        <f t="shared" si="293"/>
        <v>2020/21</v>
      </c>
      <c r="D1708" t="str">
        <f>"SC DC 215411"</f>
        <v>SC DC 215411</v>
      </c>
      <c r="E1708" t="str">
        <f t="shared" si="294"/>
        <v>SC</v>
      </c>
      <c r="F1708" t="s">
        <v>21</v>
      </c>
      <c r="G1708" t="s">
        <v>22</v>
      </c>
      <c r="H1708">
        <v>443.52</v>
      </c>
      <c r="I1708" t="str">
        <f>"The Mayfield Trust"</f>
        <v>The Mayfield Trust</v>
      </c>
      <c r="J1708" t="str">
        <f>"Personal Care Private Contractors Agency And Contracted Services Short Breaks Integrated commissioning - children's"</f>
        <v>Personal Care Private Contractors Agency And Contracted Services Short Breaks Integrated commissioning - children's</v>
      </c>
    </row>
    <row r="1709" spans="1:10" x14ac:dyDescent="0.35">
      <c r="A1709" t="str">
        <f t="shared" si="300"/>
        <v>DEC</v>
      </c>
      <c r="B1709" t="str">
        <f t="shared" si="292"/>
        <v>20</v>
      </c>
      <c r="C1709" t="str">
        <f t="shared" si="293"/>
        <v>2020/21</v>
      </c>
      <c r="D1709" t="str">
        <f>"SC DC 216886"</f>
        <v>SC DC 216886</v>
      </c>
      <c r="E1709" t="str">
        <f t="shared" si="294"/>
        <v>SC</v>
      </c>
      <c r="F1709" t="s">
        <v>21</v>
      </c>
      <c r="G1709" t="s">
        <v>22</v>
      </c>
      <c r="H1709">
        <v>197.76</v>
      </c>
      <c r="I1709" t="str">
        <f>"Carers Trust Mid Yorkshire"</f>
        <v>Carers Trust Mid Yorkshire</v>
      </c>
      <c r="J1709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1710" spans="1:10" x14ac:dyDescent="0.35">
      <c r="A1710" t="str">
        <f t="shared" si="300"/>
        <v>DEC</v>
      </c>
      <c r="B1710" t="str">
        <f t="shared" si="292"/>
        <v>20</v>
      </c>
      <c r="C1710" t="str">
        <f t="shared" si="293"/>
        <v>2020/21</v>
      </c>
      <c r="D1710" t="str">
        <f>"SC DC 215411"</f>
        <v>SC DC 215411</v>
      </c>
      <c r="E1710" t="str">
        <f t="shared" si="294"/>
        <v>SC</v>
      </c>
      <c r="F1710" t="s">
        <v>21</v>
      </c>
      <c r="G1710" t="s">
        <v>22</v>
      </c>
      <c r="H1710">
        <v>142.56</v>
      </c>
      <c r="I1710" t="str">
        <f>"The Mayfield Trust"</f>
        <v>The Mayfield Trust</v>
      </c>
      <c r="J1710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1711" spans="1:10" x14ac:dyDescent="0.35">
      <c r="A1711" t="str">
        <f t="shared" si="300"/>
        <v>DEC</v>
      </c>
      <c r="B1711" t="str">
        <f t="shared" si="292"/>
        <v>20</v>
      </c>
      <c r="C1711" t="str">
        <f t="shared" si="293"/>
        <v>2020/21</v>
      </c>
      <c r="D1711" t="str">
        <f>"SC DC 215835"</f>
        <v>SC DC 215835</v>
      </c>
      <c r="E1711" t="str">
        <f t="shared" si="294"/>
        <v>SC</v>
      </c>
      <c r="F1711" t="s">
        <v>21</v>
      </c>
      <c r="G1711" t="s">
        <v>22</v>
      </c>
      <c r="H1711">
        <v>95.04</v>
      </c>
      <c r="I1711" t="str">
        <f>"The Mayfield Trust"</f>
        <v>The Mayfield Trust</v>
      </c>
      <c r="J1711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1712" spans="1:10" x14ac:dyDescent="0.35">
      <c r="A1712" t="str">
        <f t="shared" si="300"/>
        <v>DEC</v>
      </c>
      <c r="B1712" t="str">
        <f t="shared" si="292"/>
        <v>20</v>
      </c>
      <c r="C1712" t="str">
        <f t="shared" si="293"/>
        <v>2020/21</v>
      </c>
      <c r="D1712" t="str">
        <f>"SC CK 217851"</f>
        <v>SC CK 217851</v>
      </c>
      <c r="E1712" t="str">
        <f t="shared" si="294"/>
        <v>SC</v>
      </c>
      <c r="F1712" t="s">
        <v>21</v>
      </c>
      <c r="G1712" t="s">
        <v>22</v>
      </c>
      <c r="H1712">
        <v>1300</v>
      </c>
      <c r="I1712" t="str">
        <f>"Phoenix Radio"</f>
        <v>Phoenix Radio</v>
      </c>
      <c r="J1712" t="str">
        <f>"Group Activities Other Agency And Contracted Services Agency And Contracted Services Short Breaks Integrated commissioning - children's"</f>
        <v>Group Activities Other Agency And Contracted Services Agency And Contracted Services Short Breaks Integrated commissioning - children's</v>
      </c>
    </row>
    <row r="1713" spans="1:10" x14ac:dyDescent="0.35">
      <c r="A1713" t="str">
        <f t="shared" si="300"/>
        <v>DEC</v>
      </c>
      <c r="B1713" t="str">
        <f t="shared" si="292"/>
        <v>20</v>
      </c>
      <c r="C1713" t="str">
        <f t="shared" si="293"/>
        <v>2020/21</v>
      </c>
      <c r="D1713" t="str">
        <f>"CE PH 014307"</f>
        <v>CE PH 014307</v>
      </c>
      <c r="E1713" t="str">
        <f t="shared" si="294"/>
        <v>CE</v>
      </c>
      <c r="F1713" t="s">
        <v>23</v>
      </c>
      <c r="G1713" t="s">
        <v>24</v>
      </c>
      <c r="H1713">
        <v>380</v>
      </c>
      <c r="I1713" t="str">
        <f>"The Basement Recovery Project"</f>
        <v>The Basement Recovery Project</v>
      </c>
      <c r="J1713" t="str">
        <f>"Rehab Private Contractors Agency And Contracted Services Substance Misuse Public Health"</f>
        <v>Rehab Private Contractors Agency And Contracted Services Substance Misuse Public Health</v>
      </c>
    </row>
    <row r="1714" spans="1:10" x14ac:dyDescent="0.35">
      <c r="A1714" t="str">
        <f t="shared" si="300"/>
        <v>DEC</v>
      </c>
      <c r="B1714" t="str">
        <f t="shared" si="292"/>
        <v>20</v>
      </c>
      <c r="C1714" t="str">
        <f t="shared" si="293"/>
        <v>2020/21</v>
      </c>
      <c r="D1714" t="str">
        <f>"CE PH 014103"</f>
        <v>CE PH 014103</v>
      </c>
      <c r="E1714" t="str">
        <f t="shared" si="294"/>
        <v>CE</v>
      </c>
      <c r="F1714" t="s">
        <v>23</v>
      </c>
      <c r="G1714" t="s">
        <v>24</v>
      </c>
      <c r="H1714">
        <v>249204.83</v>
      </c>
      <c r="I1714" t="str">
        <f>"Humankind"</f>
        <v>Humankind</v>
      </c>
      <c r="J1714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1715" spans="1:10" x14ac:dyDescent="0.35">
      <c r="A1715" t="str">
        <f t="shared" si="300"/>
        <v>DEC</v>
      </c>
      <c r="B1715" t="str">
        <f t="shared" si="292"/>
        <v>20</v>
      </c>
      <c r="C1715" t="str">
        <f t="shared" si="293"/>
        <v>2020/21</v>
      </c>
      <c r="D1715" t="str">
        <f>"CE PH 014104"</f>
        <v>CE PH 014104</v>
      </c>
      <c r="E1715" t="str">
        <f t="shared" si="294"/>
        <v>CE</v>
      </c>
      <c r="F1715" t="s">
        <v>23</v>
      </c>
      <c r="G1715" t="s">
        <v>24</v>
      </c>
      <c r="H1715">
        <v>249204.83</v>
      </c>
      <c r="I1715" t="str">
        <f>"Humankind"</f>
        <v>Humankind</v>
      </c>
      <c r="J1715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1716" spans="1:10" x14ac:dyDescent="0.35">
      <c r="A1716" t="str">
        <f t="shared" si="300"/>
        <v>DEC</v>
      </c>
      <c r="B1716" t="str">
        <f t="shared" si="292"/>
        <v>20</v>
      </c>
      <c r="C1716" t="str">
        <f t="shared" si="293"/>
        <v>2020/21</v>
      </c>
      <c r="D1716" t="str">
        <f>"CE PH 014316"</f>
        <v>CE PH 014316</v>
      </c>
      <c r="E1716" t="str">
        <f t="shared" si="294"/>
        <v>CE</v>
      </c>
      <c r="F1716" t="s">
        <v>23</v>
      </c>
      <c r="G1716" t="s">
        <v>24</v>
      </c>
      <c r="H1716">
        <v>998</v>
      </c>
      <c r="I1716" t="str">
        <f>"Locala Community Partnerships CIC"</f>
        <v>Locala Community Partnerships CIC</v>
      </c>
      <c r="J1716" t="str">
        <f>"Out of area GUM Private Contractors Agency And Contracted Services Sexual Health Public Health"</f>
        <v>Out of area GUM Private Contractors Agency And Contracted Services Sexual Health Public Health</v>
      </c>
    </row>
    <row r="1717" spans="1:10" x14ac:dyDescent="0.35">
      <c r="A1717" t="str">
        <f t="shared" si="300"/>
        <v>DEC</v>
      </c>
      <c r="B1717" t="str">
        <f t="shared" si="292"/>
        <v>20</v>
      </c>
      <c r="C1717" t="str">
        <f t="shared" si="293"/>
        <v>2020/21</v>
      </c>
      <c r="D1717" t="str">
        <f>"CE PH 014315"</f>
        <v>CE PH 014315</v>
      </c>
      <c r="E1717" t="str">
        <f t="shared" si="294"/>
        <v>CE</v>
      </c>
      <c r="F1717" t="s">
        <v>23</v>
      </c>
      <c r="G1717" t="s">
        <v>24</v>
      </c>
      <c r="H1717">
        <v>2193</v>
      </c>
      <c r="I1717" t="str">
        <f>"Locala Community Partnerships CIC"</f>
        <v>Locala Community Partnerships CIC</v>
      </c>
      <c r="J1717" t="str">
        <f>"Out of area GUM Private Contractors Agency And Contracted Services Sexual Health Public Health"</f>
        <v>Out of area GUM Private Contractors Agency And Contracted Services Sexual Health Public Health</v>
      </c>
    </row>
    <row r="1718" spans="1:10" x14ac:dyDescent="0.35">
      <c r="A1718" t="str">
        <f t="shared" si="300"/>
        <v>DEC</v>
      </c>
      <c r="B1718" t="str">
        <f t="shared" si="292"/>
        <v>20</v>
      </c>
      <c r="C1718" t="str">
        <f t="shared" si="293"/>
        <v>2020/21</v>
      </c>
      <c r="D1718" t="str">
        <f>"CE PH 014320"</f>
        <v>CE PH 014320</v>
      </c>
      <c r="E1718" t="str">
        <f t="shared" si="294"/>
        <v>CE</v>
      </c>
      <c r="F1718" t="s">
        <v>23</v>
      </c>
      <c r="G1718" t="s">
        <v>24</v>
      </c>
      <c r="H1718">
        <v>75000</v>
      </c>
      <c r="I1718" t="str">
        <f>"Voluntary Action Calderdale"</f>
        <v>Voluntary Action Calderdale</v>
      </c>
      <c r="J1718" t="str">
        <f>"VCS project lead Miscellaneous Expenses Supplies And Services COVID19 - outbreak management Public Health"</f>
        <v>VCS project lead Miscellaneous Expenses Supplies And Services COVID19 - outbreak management Public Health</v>
      </c>
    </row>
    <row r="1719" spans="1:10" x14ac:dyDescent="0.35">
      <c r="A1719" t="str">
        <f t="shared" si="300"/>
        <v>DEC</v>
      </c>
      <c r="B1719" t="str">
        <f t="shared" si="292"/>
        <v>20</v>
      </c>
      <c r="C1719" t="str">
        <f t="shared" si="293"/>
        <v>2020/21</v>
      </c>
      <c r="D1719" t="str">
        <f>"CE PH 014314"</f>
        <v>CE PH 014314</v>
      </c>
      <c r="E1719" t="str">
        <f t="shared" si="294"/>
        <v>CE</v>
      </c>
      <c r="F1719" t="s">
        <v>23</v>
      </c>
      <c r="G1719" t="s">
        <v>24</v>
      </c>
      <c r="H1719">
        <v>8002.74</v>
      </c>
      <c r="I1719" t="str">
        <f>"Locala Community Partnerships CIC"</f>
        <v>Locala Community Partnerships CIC</v>
      </c>
      <c r="J1719" t="str">
        <f>"Locala contract Private Contractors Agency And Contracted Services COVID19 - outbreak management Public Health"</f>
        <v>Locala contract Private Contractors Agency And Contracted Services COVID19 - outbreak management Public Health</v>
      </c>
    </row>
    <row r="1720" spans="1:10" x14ac:dyDescent="0.35">
      <c r="A1720" t="str">
        <f t="shared" si="300"/>
        <v>DEC</v>
      </c>
      <c r="B1720" t="str">
        <f t="shared" si="292"/>
        <v>20</v>
      </c>
      <c r="C1720" t="str">
        <f t="shared" si="293"/>
        <v>2020/21</v>
      </c>
      <c r="D1720" t="str">
        <f>"CE PH 014313"</f>
        <v>CE PH 014313</v>
      </c>
      <c r="E1720" t="str">
        <f t="shared" si="294"/>
        <v>CE</v>
      </c>
      <c r="F1720" t="s">
        <v>23</v>
      </c>
      <c r="G1720" t="s">
        <v>24</v>
      </c>
      <c r="H1720">
        <v>16005.47</v>
      </c>
      <c r="I1720" t="str">
        <f>"Locala Community Partnerships CIC"</f>
        <v>Locala Community Partnerships CIC</v>
      </c>
      <c r="J1720" t="str">
        <f>"Locala contract Private Contractors Agency And Contracted Services COVID19 - outbreak management Public Health"</f>
        <v>Locala contract Private Contractors Agency And Contracted Services COVID19 - outbreak management Public Health</v>
      </c>
    </row>
    <row r="1721" spans="1:10" x14ac:dyDescent="0.35">
      <c r="A1721" t="str">
        <f t="shared" si="300"/>
        <v>DEC</v>
      </c>
      <c r="B1721" t="str">
        <f t="shared" si="292"/>
        <v>20</v>
      </c>
      <c r="C1721" t="str">
        <f t="shared" si="293"/>
        <v>2020/21</v>
      </c>
      <c r="D1721" t="str">
        <f>"CE PH 014115"</f>
        <v>CE PH 014115</v>
      </c>
      <c r="E1721" t="str">
        <f t="shared" si="294"/>
        <v>CE</v>
      </c>
      <c r="F1721" t="s">
        <v>23</v>
      </c>
      <c r="G1721" t="s">
        <v>24</v>
      </c>
      <c r="H1721">
        <v>292505.59000000003</v>
      </c>
      <c r="I1721" t="str">
        <f>"Locala Community Partnerships CIC"</f>
        <v>Locala Community Partnerships CIC</v>
      </c>
      <c r="J1721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1722" spans="1:10" x14ac:dyDescent="0.35">
      <c r="A1722" t="str">
        <f t="shared" si="300"/>
        <v>DEC</v>
      </c>
      <c r="B1722" t="str">
        <f t="shared" si="292"/>
        <v>20</v>
      </c>
      <c r="C1722" t="str">
        <f t="shared" si="293"/>
        <v>2020/21</v>
      </c>
      <c r="D1722" t="str">
        <f>"CE PH 014115"</f>
        <v>CE PH 014115</v>
      </c>
      <c r="E1722" t="str">
        <f t="shared" si="294"/>
        <v>CE</v>
      </c>
      <c r="F1722" t="s">
        <v>23</v>
      </c>
      <c r="G1722" t="s">
        <v>24</v>
      </c>
      <c r="H1722">
        <v>292505.5</v>
      </c>
      <c r="I1722" t="str">
        <f>"Locala Community Partnerships CIC"</f>
        <v>Locala Community Partnerships CIC</v>
      </c>
      <c r="J1722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1723" spans="1:10" x14ac:dyDescent="0.35">
      <c r="A1723" t="str">
        <f t="shared" si="300"/>
        <v>DEC</v>
      </c>
      <c r="B1723" t="str">
        <f t="shared" si="292"/>
        <v>20</v>
      </c>
      <c r="C1723" t="str">
        <f t="shared" si="293"/>
        <v>2020/21</v>
      </c>
      <c r="D1723" t="str">
        <f>"CE PH 014112"</f>
        <v>CE PH 014112</v>
      </c>
      <c r="E1723" t="str">
        <f t="shared" si="294"/>
        <v>CE</v>
      </c>
      <c r="F1723" t="s">
        <v>23</v>
      </c>
      <c r="G1723" t="s">
        <v>24</v>
      </c>
      <c r="H1723">
        <v>163520.75</v>
      </c>
      <c r="I1723" t="str">
        <f>"Locala Community Partnerships CIC"</f>
        <v>Locala Community Partnerships CIC</v>
      </c>
      <c r="J1723" t="str">
        <f>"School nursing Private Contractors Agency And Contracted Services Children / Young People's Public Health (incl 0-5) Public Health"</f>
        <v>School nursing Private Contractors Agency And Contracted Services Children / Young People's Public Health (incl 0-5) Public Health</v>
      </c>
    </row>
    <row r="1724" spans="1:10" x14ac:dyDescent="0.35">
      <c r="A1724" t="str">
        <f t="shared" si="300"/>
        <v>DEC</v>
      </c>
      <c r="B1724" t="str">
        <f t="shared" si="292"/>
        <v>20</v>
      </c>
      <c r="C1724" t="str">
        <f t="shared" si="293"/>
        <v>2020/21</v>
      </c>
      <c r="D1724" t="str">
        <f>"CE PH 014096"</f>
        <v>CE PH 014096</v>
      </c>
      <c r="E1724" t="str">
        <f t="shared" si="294"/>
        <v>CE</v>
      </c>
      <c r="F1724" t="s">
        <v>23</v>
      </c>
      <c r="G1724" t="s">
        <v>24</v>
      </c>
      <c r="H1724">
        <v>22682</v>
      </c>
      <c r="I1724" t="str">
        <f>"Humankind"</f>
        <v>Humankind</v>
      </c>
      <c r="J1724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1725" spans="1:10" x14ac:dyDescent="0.35">
      <c r="A1725" t="str">
        <f t="shared" si="300"/>
        <v>DEC</v>
      </c>
      <c r="B1725" t="str">
        <f t="shared" si="292"/>
        <v>20</v>
      </c>
      <c r="C1725" t="str">
        <f t="shared" si="293"/>
        <v>2020/21</v>
      </c>
      <c r="D1725" t="str">
        <f>"CE PH 014096"</f>
        <v>CE PH 014096</v>
      </c>
      <c r="E1725" t="str">
        <f t="shared" si="294"/>
        <v>CE</v>
      </c>
      <c r="F1725" t="s">
        <v>23</v>
      </c>
      <c r="G1725" t="s">
        <v>24</v>
      </c>
      <c r="H1725">
        <v>22682</v>
      </c>
      <c r="I1725" t="str">
        <f>"Humankind"</f>
        <v>Humankind</v>
      </c>
      <c r="J1725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1726" spans="1:10" x14ac:dyDescent="0.35">
      <c r="A1726" t="str">
        <f t="shared" si="300"/>
        <v>DEC</v>
      </c>
      <c r="B1726" t="str">
        <f t="shared" si="292"/>
        <v>20</v>
      </c>
      <c r="C1726" t="str">
        <f t="shared" si="293"/>
        <v>2020/21</v>
      </c>
      <c r="D1726" t="str">
        <f>"SS FD 113782"</f>
        <v>SS FD 113782</v>
      </c>
      <c r="E1726" t="str">
        <f t="shared" si="294"/>
        <v>SS</v>
      </c>
      <c r="F1726" t="s">
        <v>25</v>
      </c>
      <c r="G1726" t="s">
        <v>22</v>
      </c>
      <c r="H1726">
        <v>197.76</v>
      </c>
      <c r="I1726" t="str">
        <f>"Carers Trust Mid Yorkshire"</f>
        <v>Carers Trust Mid Yorkshire</v>
      </c>
      <c r="J1726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727" spans="1:10" x14ac:dyDescent="0.35">
      <c r="A1727" t="str">
        <f t="shared" si="300"/>
        <v>DEC</v>
      </c>
      <c r="B1727" t="str">
        <f t="shared" si="292"/>
        <v>20</v>
      </c>
      <c r="C1727" t="str">
        <f t="shared" si="293"/>
        <v>2020/21</v>
      </c>
      <c r="D1727" t="str">
        <f>"SS FD 113786"</f>
        <v>SS FD 113786</v>
      </c>
      <c r="E1727" t="str">
        <f t="shared" si="294"/>
        <v>SS</v>
      </c>
      <c r="F1727" t="s">
        <v>25</v>
      </c>
      <c r="G1727" t="s">
        <v>22</v>
      </c>
      <c r="H1727">
        <v>2329.88</v>
      </c>
      <c r="I1727" t="str">
        <f>"Helping Hands (HX)"</f>
        <v>Helping Hands (HX)</v>
      </c>
      <c r="J1727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728" spans="1:10" x14ac:dyDescent="0.35">
      <c r="A1728" t="str">
        <f t="shared" si="300"/>
        <v>DEC</v>
      </c>
      <c r="B1728" t="str">
        <f t="shared" si="292"/>
        <v>20</v>
      </c>
      <c r="C1728" t="str">
        <f t="shared" si="293"/>
        <v>2020/21</v>
      </c>
      <c r="D1728" t="str">
        <f>"SS RE 116492"</f>
        <v>SS RE 116492</v>
      </c>
      <c r="E1728" t="str">
        <f t="shared" si="294"/>
        <v>SS</v>
      </c>
      <c r="F1728" t="s">
        <v>25</v>
      </c>
      <c r="G1728" t="s">
        <v>22</v>
      </c>
      <c r="H1728">
        <v>124.2</v>
      </c>
      <c r="I1728" t="str">
        <f>"Community Transport Calderdale Ltd"</f>
        <v>Community Transport Calderdale Ltd</v>
      </c>
      <c r="J1728" t="str">
        <f>"Expenses - Mental Health Respite Private Contractors Agency And Contracted Services Shared Lives Adult Health &amp; Social Care"</f>
        <v>Expenses - Mental Health Respite Private Contractors Agency And Contracted Services Shared Lives Adult Health &amp; Social Care</v>
      </c>
    </row>
    <row r="1729" spans="1:10" x14ac:dyDescent="0.35">
      <c r="A1729" t="str">
        <f t="shared" si="300"/>
        <v>DEC</v>
      </c>
      <c r="B1729" t="str">
        <f t="shared" si="292"/>
        <v>20</v>
      </c>
      <c r="C1729" t="str">
        <f t="shared" si="293"/>
        <v>2020/21</v>
      </c>
      <c r="D1729" t="str">
        <f>"HS TA 016993"</f>
        <v>HS TA 016993</v>
      </c>
      <c r="E1729" t="str">
        <f t="shared" si="294"/>
        <v>HS</v>
      </c>
      <c r="F1729" t="s">
        <v>26</v>
      </c>
      <c r="G1729" t="s">
        <v>18</v>
      </c>
      <c r="H1729">
        <v>210</v>
      </c>
      <c r="I1729" t="str">
        <f>"Calder Valley Transport"</f>
        <v>Calder Valley Transport</v>
      </c>
      <c r="J1729" t="str">
        <f>"Other Equipment Repairs Equipment Furniture And Materials Supplies And Services Leasehold Flats Housing Services"</f>
        <v>Other Equipment Repairs Equipment Furniture And Materials Supplies And Services Leasehold Flats Housing Services</v>
      </c>
    </row>
    <row r="1730" spans="1:10" x14ac:dyDescent="0.35">
      <c r="A1730" t="str">
        <f t="shared" si="300"/>
        <v>DEC</v>
      </c>
      <c r="B1730" t="str">
        <f t="shared" ref="B1730:B1793" si="301">"20"</f>
        <v>20</v>
      </c>
      <c r="C1730" t="str">
        <f t="shared" ref="C1730:C1793" si="302">"2020/21"</f>
        <v>2020/21</v>
      </c>
      <c r="D1730" t="str">
        <f>"TF CI 000721"</f>
        <v>TF CI 000721</v>
      </c>
      <c r="E1730" t="str">
        <f t="shared" ref="E1730:E1793" si="303">LEFT(D1730,2)</f>
        <v>TF</v>
      </c>
      <c r="F1730" t="s">
        <v>27</v>
      </c>
      <c r="G1730" t="s">
        <v>18</v>
      </c>
      <c r="H1730">
        <v>22500</v>
      </c>
      <c r="I1730" t="str">
        <f>"Community Foundation for Calderdale"</f>
        <v>Community Foundation for Calderdale</v>
      </c>
      <c r="J1730" t="str">
        <f>"Rent Rent And Rates Premises And Related Expenses Halifax Customer First - 19 Horton Street Corporate Asset and Facilities Management"</f>
        <v>Rent Rent And Rates Premises And Related Expenses Halifax Customer First - 19 Horton Street Corporate Asset and Facilities Management</v>
      </c>
    </row>
    <row r="1731" spans="1:10" x14ac:dyDescent="0.35">
      <c r="A1731" t="str">
        <f t="shared" si="300"/>
        <v>DEC</v>
      </c>
      <c r="B1731" t="str">
        <f t="shared" si="301"/>
        <v>20</v>
      </c>
      <c r="C1731" t="str">
        <f t="shared" si="302"/>
        <v>2020/21</v>
      </c>
      <c r="D1731" t="str">
        <f>"SC FT 217778"</f>
        <v>SC FT 217778</v>
      </c>
      <c r="E1731" t="str">
        <f t="shared" si="303"/>
        <v>SC</v>
      </c>
      <c r="F1731" t="s">
        <v>32</v>
      </c>
      <c r="G1731" t="s">
        <v>30</v>
      </c>
      <c r="H1731">
        <v>10</v>
      </c>
      <c r="I1731" t="str">
        <f>"Greenhome Calderdale CIC"</f>
        <v>Greenhome Calderdale CIC</v>
      </c>
      <c r="J1731" t="str">
        <f>"General Income Customer And Client Receipts Income Family Intervention Team Childrens Services Unit"</f>
        <v>General Income Customer And Client Receipts Income Family Intervention Team Childrens Services Unit</v>
      </c>
    </row>
    <row r="1732" spans="1:10" x14ac:dyDescent="0.35">
      <c r="A1732" t="str">
        <f t="shared" si="300"/>
        <v>DEC</v>
      </c>
      <c r="B1732" t="str">
        <f t="shared" si="301"/>
        <v>20</v>
      </c>
      <c r="C1732" t="str">
        <f t="shared" si="302"/>
        <v>2020/21</v>
      </c>
      <c r="D1732" t="str">
        <f>"SC FT 217778"</f>
        <v>SC FT 217778</v>
      </c>
      <c r="E1732" t="str">
        <f t="shared" si="303"/>
        <v>SC</v>
      </c>
      <c r="F1732" t="s">
        <v>32</v>
      </c>
      <c r="G1732" t="s">
        <v>30</v>
      </c>
      <c r="H1732">
        <v>60</v>
      </c>
      <c r="I1732" t="str">
        <f>"Greenhome Calderdale CIC"</f>
        <v>Greenhome Calderdale CIC</v>
      </c>
      <c r="J1732" t="str">
        <f>"General Income Customer And Client Receipts Income Family Intervention Team Childrens Services Unit"</f>
        <v>General Income Customer And Client Receipts Income Family Intervention Team Childrens Services Unit</v>
      </c>
    </row>
    <row r="1733" spans="1:10" x14ac:dyDescent="0.35">
      <c r="A1733" t="str">
        <f t="shared" si="300"/>
        <v>DEC</v>
      </c>
      <c r="B1733" t="str">
        <f t="shared" si="301"/>
        <v>20</v>
      </c>
      <c r="C1733" t="str">
        <f t="shared" si="302"/>
        <v>2020/21</v>
      </c>
      <c r="D1733" t="str">
        <f>"SC EY 217857"</f>
        <v>SC EY 217857</v>
      </c>
      <c r="E1733" t="str">
        <f t="shared" si="303"/>
        <v>SC</v>
      </c>
      <c r="F1733" t="s">
        <v>32</v>
      </c>
      <c r="G1733" t="s">
        <v>30</v>
      </c>
      <c r="H1733">
        <v>612</v>
      </c>
      <c r="I1733" t="str">
        <f>"Creations Community Childrens Centre"</f>
        <v>Creations Community Childrens Centre</v>
      </c>
      <c r="J1733" t="str">
        <f t="shared" ref="J1733:J1740" si="304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1734" spans="1:10" x14ac:dyDescent="0.35">
      <c r="A1734" t="str">
        <f t="shared" si="300"/>
        <v>DEC</v>
      </c>
      <c r="B1734" t="str">
        <f t="shared" si="301"/>
        <v>20</v>
      </c>
      <c r="C1734" t="str">
        <f t="shared" si="302"/>
        <v>2020/21</v>
      </c>
      <c r="D1734" t="str">
        <f>"SC EY 217874"</f>
        <v>SC EY 217874</v>
      </c>
      <c r="E1734" t="str">
        <f t="shared" si="303"/>
        <v>SC</v>
      </c>
      <c r="F1734" t="s">
        <v>32</v>
      </c>
      <c r="G1734" t="s">
        <v>30</v>
      </c>
      <c r="H1734">
        <v>2054</v>
      </c>
      <c r="I1734" t="str">
        <f>"Innovations Children's Centre"</f>
        <v>Innovations Children's Centre</v>
      </c>
      <c r="J1734" t="str">
        <f t="shared" si="304"/>
        <v>Access to Support provision Other Agency And Contracted Services Agency And Contracted Services Early Intervention Childcare Funding Childrens S</v>
      </c>
    </row>
    <row r="1735" spans="1:10" x14ac:dyDescent="0.35">
      <c r="A1735" t="str">
        <f t="shared" si="300"/>
        <v>DEC</v>
      </c>
      <c r="B1735" t="str">
        <f t="shared" si="301"/>
        <v>20</v>
      </c>
      <c r="C1735" t="str">
        <f t="shared" si="302"/>
        <v>2020/21</v>
      </c>
      <c r="D1735" t="str">
        <f>"SC EY 217880"</f>
        <v>SC EY 217880</v>
      </c>
      <c r="E1735" t="str">
        <f t="shared" si="303"/>
        <v>SC</v>
      </c>
      <c r="F1735" t="s">
        <v>32</v>
      </c>
      <c r="G1735" t="s">
        <v>30</v>
      </c>
      <c r="H1735">
        <v>1207</v>
      </c>
      <c r="I1735" t="str">
        <f>"Jubilee Children's Centre"</f>
        <v>Jubilee Children's Centre</v>
      </c>
      <c r="J1735" t="str">
        <f t="shared" si="304"/>
        <v>Access to Support provision Other Agency And Contracted Services Agency And Contracted Services Early Intervention Childcare Funding Childrens S</v>
      </c>
    </row>
    <row r="1736" spans="1:10" x14ac:dyDescent="0.35">
      <c r="A1736" t="str">
        <f t="shared" si="300"/>
        <v>DEC</v>
      </c>
      <c r="B1736" t="str">
        <f t="shared" si="301"/>
        <v>20</v>
      </c>
      <c r="C1736" t="str">
        <f t="shared" si="302"/>
        <v>2020/21</v>
      </c>
      <c r="D1736" t="str">
        <f>"SC EY 217876"</f>
        <v>SC EY 217876</v>
      </c>
      <c r="E1736" t="str">
        <f t="shared" si="303"/>
        <v>SC</v>
      </c>
      <c r="F1736" t="s">
        <v>32</v>
      </c>
      <c r="G1736" t="s">
        <v>30</v>
      </c>
      <c r="H1736">
        <v>414</v>
      </c>
      <c r="I1736" t="str">
        <f>"Ash Green Childrens Centre"</f>
        <v>Ash Green Childrens Centre</v>
      </c>
      <c r="J1736" t="str">
        <f t="shared" si="304"/>
        <v>Access to Support provision Other Agency And Contracted Services Agency And Contracted Services Early Intervention Childcare Funding Childrens S</v>
      </c>
    </row>
    <row r="1737" spans="1:10" x14ac:dyDescent="0.35">
      <c r="A1737" t="str">
        <f t="shared" si="300"/>
        <v>DEC</v>
      </c>
      <c r="B1737" t="str">
        <f t="shared" si="301"/>
        <v>20</v>
      </c>
      <c r="C1737" t="str">
        <f t="shared" si="302"/>
        <v>2020/21</v>
      </c>
      <c r="D1737" t="str">
        <f>"SC EY 217879"</f>
        <v>SC EY 217879</v>
      </c>
      <c r="E1737" t="str">
        <f t="shared" si="303"/>
        <v>SC</v>
      </c>
      <c r="F1737" t="s">
        <v>32</v>
      </c>
      <c r="G1737" t="s">
        <v>30</v>
      </c>
      <c r="H1737">
        <v>1558</v>
      </c>
      <c r="I1737" t="str">
        <f>"Kevin Pearce Childrens Centre"</f>
        <v>Kevin Pearce Childrens Centre</v>
      </c>
      <c r="J1737" t="str">
        <f t="shared" si="304"/>
        <v>Access to Support provision Other Agency And Contracted Services Agency And Contracted Services Early Intervention Childcare Funding Childrens S</v>
      </c>
    </row>
    <row r="1738" spans="1:10" x14ac:dyDescent="0.35">
      <c r="A1738" t="str">
        <f t="shared" si="300"/>
        <v>DEC</v>
      </c>
      <c r="B1738" t="str">
        <f t="shared" si="301"/>
        <v>20</v>
      </c>
      <c r="C1738" t="str">
        <f t="shared" si="302"/>
        <v>2020/21</v>
      </c>
      <c r="D1738" t="str">
        <f>"SC EY 217861"</f>
        <v>SC EY 217861</v>
      </c>
      <c r="E1738" t="str">
        <f t="shared" si="303"/>
        <v>SC</v>
      </c>
      <c r="F1738" t="s">
        <v>32</v>
      </c>
      <c r="G1738" t="s">
        <v>30</v>
      </c>
      <c r="H1738">
        <v>663</v>
      </c>
      <c r="I1738" t="str">
        <f>"Siddal Children's Centre"</f>
        <v>Siddal Children's Centre</v>
      </c>
      <c r="J1738" t="str">
        <f t="shared" si="304"/>
        <v>Access to Support provision Other Agency And Contracted Services Agency And Contracted Services Early Intervention Childcare Funding Childrens S</v>
      </c>
    </row>
    <row r="1739" spans="1:10" x14ac:dyDescent="0.35">
      <c r="A1739" t="str">
        <f t="shared" si="300"/>
        <v>DEC</v>
      </c>
      <c r="B1739" t="str">
        <f t="shared" si="301"/>
        <v>20</v>
      </c>
      <c r="C1739" t="str">
        <f t="shared" si="302"/>
        <v>2020/21</v>
      </c>
      <c r="D1739" t="str">
        <f>"SC EY 217867"</f>
        <v>SC EY 217867</v>
      </c>
      <c r="E1739" t="str">
        <f t="shared" si="303"/>
        <v>SC</v>
      </c>
      <c r="F1739" t="s">
        <v>32</v>
      </c>
      <c r="G1739" t="s">
        <v>30</v>
      </c>
      <c r="H1739">
        <v>694</v>
      </c>
      <c r="I1739" t="str">
        <f>"Todmorden Children's Centre"</f>
        <v>Todmorden Children's Centre</v>
      </c>
      <c r="J1739" t="str">
        <f t="shared" si="304"/>
        <v>Access to Support provision Other Agency And Contracted Services Agency And Contracted Services Early Intervention Childcare Funding Childrens S</v>
      </c>
    </row>
    <row r="1740" spans="1:10" x14ac:dyDescent="0.35">
      <c r="A1740" t="str">
        <f t="shared" si="300"/>
        <v>DEC</v>
      </c>
      <c r="B1740" t="str">
        <f t="shared" si="301"/>
        <v>20</v>
      </c>
      <c r="C1740" t="str">
        <f t="shared" si="302"/>
        <v>2020/21</v>
      </c>
      <c r="D1740" t="str">
        <f>"SC EY 217868"</f>
        <v>SC EY 217868</v>
      </c>
      <c r="E1740" t="str">
        <f t="shared" si="303"/>
        <v>SC</v>
      </c>
      <c r="F1740" t="s">
        <v>32</v>
      </c>
      <c r="G1740" t="s">
        <v>30</v>
      </c>
      <c r="H1740">
        <v>440</v>
      </c>
      <c r="I1740" t="str">
        <f>"Wellholme Children's Centre"</f>
        <v>Wellholme Children's Centre</v>
      </c>
      <c r="J1740" t="str">
        <f t="shared" si="304"/>
        <v>Access to Support provision Other Agency And Contracted Services Agency And Contracted Services Early Intervention Childcare Funding Childrens S</v>
      </c>
    </row>
    <row r="1741" spans="1:10" x14ac:dyDescent="0.35">
      <c r="A1741" t="str">
        <f t="shared" si="300"/>
        <v>DEC</v>
      </c>
      <c r="B1741" t="str">
        <f t="shared" si="301"/>
        <v>20</v>
      </c>
      <c r="C1741" t="str">
        <f t="shared" si="302"/>
        <v>2020/21</v>
      </c>
      <c r="D1741" t="str">
        <f>"SC EY 217431"</f>
        <v>SC EY 217431</v>
      </c>
      <c r="E1741" t="str">
        <f t="shared" si="303"/>
        <v>SC</v>
      </c>
      <c r="F1741" t="s">
        <v>32</v>
      </c>
      <c r="G1741" t="s">
        <v>30</v>
      </c>
      <c r="H1741">
        <v>1080</v>
      </c>
      <c r="I1741" t="str">
        <f>"Innovations Children's Centre"</f>
        <v>Innovations Children's Centre</v>
      </c>
      <c r="J1741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742" spans="1:10" x14ac:dyDescent="0.35">
      <c r="A1742" t="str">
        <f t="shared" si="300"/>
        <v>DEC</v>
      </c>
      <c r="B1742" t="str">
        <f t="shared" si="301"/>
        <v>20</v>
      </c>
      <c r="C1742" t="str">
        <f t="shared" si="302"/>
        <v>2020/21</v>
      </c>
      <c r="D1742" t="str">
        <f>"SC EY 217967"</f>
        <v>SC EY 217967</v>
      </c>
      <c r="E1742" t="str">
        <f t="shared" si="303"/>
        <v>SC</v>
      </c>
      <c r="F1742" t="s">
        <v>32</v>
      </c>
      <c r="G1742" t="s">
        <v>30</v>
      </c>
      <c r="H1742">
        <v>517.5</v>
      </c>
      <c r="I1742" t="str">
        <f>"Innovations Children's Centre"</f>
        <v>Innovations Children's Centre</v>
      </c>
      <c r="J1742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743" spans="1:10" x14ac:dyDescent="0.35">
      <c r="A1743" t="str">
        <f t="shared" si="300"/>
        <v>DEC</v>
      </c>
      <c r="B1743" t="str">
        <f t="shared" si="301"/>
        <v>20</v>
      </c>
      <c r="C1743" t="str">
        <f t="shared" si="302"/>
        <v>2020/21</v>
      </c>
      <c r="D1743" t="str">
        <f>"SC EY 217967"</f>
        <v>SC EY 217967</v>
      </c>
      <c r="E1743" t="str">
        <f t="shared" si="303"/>
        <v>SC</v>
      </c>
      <c r="F1743" t="s">
        <v>32</v>
      </c>
      <c r="G1743" t="s">
        <v>30</v>
      </c>
      <c r="H1743">
        <v>517.5</v>
      </c>
      <c r="I1743" t="str">
        <f>"Innovations Children's Centre"</f>
        <v>Innovations Children's Centre</v>
      </c>
      <c r="J1743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1744" spans="1:10" x14ac:dyDescent="0.35">
      <c r="A1744" t="str">
        <f t="shared" si="300"/>
        <v>DEC</v>
      </c>
      <c r="B1744" t="str">
        <f t="shared" si="301"/>
        <v>20</v>
      </c>
      <c r="C1744" t="str">
        <f t="shared" si="302"/>
        <v>2020/21</v>
      </c>
      <c r="D1744" t="str">
        <f>"SC EY 217829"</f>
        <v>SC EY 217829</v>
      </c>
      <c r="E1744" t="str">
        <f t="shared" si="303"/>
        <v>SC</v>
      </c>
      <c r="F1744" t="s">
        <v>32</v>
      </c>
      <c r="G1744" t="s">
        <v>30</v>
      </c>
      <c r="H1744">
        <v>615</v>
      </c>
      <c r="I1744" t="str">
        <f>"Jubilee Children's Centre"</f>
        <v>Jubilee Children's Centre</v>
      </c>
      <c r="J1744" t="str">
        <f>"D A F Other Committees Of The Council Agency And Contracted Services Nursery Grant Funding Childrens Services Unit"</f>
        <v>D A F Other Committees Of The Council Agency And Contracted Services Nursery Grant Funding Childrens Services Unit</v>
      </c>
    </row>
    <row r="1745" spans="1:10" x14ac:dyDescent="0.35">
      <c r="A1745" t="str">
        <f t="shared" si="300"/>
        <v>DEC</v>
      </c>
      <c r="B1745" t="str">
        <f t="shared" si="301"/>
        <v>20</v>
      </c>
      <c r="C1745" t="str">
        <f t="shared" si="302"/>
        <v>2020/21</v>
      </c>
      <c r="E1745" t="str">
        <f t="shared" si="303"/>
        <v/>
      </c>
      <c r="F1745" t="s">
        <v>32</v>
      </c>
      <c r="G1745" t="s">
        <v>30</v>
      </c>
      <c r="H1745">
        <v>18765</v>
      </c>
      <c r="I1745" t="str">
        <f>"Children's Corner Pre-School Committee"</f>
        <v>Children's Corner Pre-School Committee</v>
      </c>
      <c r="J1745" t="str">
        <f t="shared" ref="J1745:J1764" si="305">"3 Year Old Funding Other Committees Other Committees Of The Council Agency And Contracted Services Nursery Grant Funding Childrens Services Unit"</f>
        <v>3 Year Old Funding Other Committees Other Committees Of The Council Agency And Contracted Services Nursery Grant Funding Childrens Services Unit</v>
      </c>
    </row>
    <row r="1746" spans="1:10" x14ac:dyDescent="0.35">
      <c r="A1746" t="str">
        <f t="shared" si="300"/>
        <v>DEC</v>
      </c>
      <c r="B1746" t="str">
        <f t="shared" si="301"/>
        <v>20</v>
      </c>
      <c r="C1746" t="str">
        <f t="shared" si="302"/>
        <v>2020/21</v>
      </c>
      <c r="E1746" t="str">
        <f t="shared" si="303"/>
        <v/>
      </c>
      <c r="F1746" t="s">
        <v>32</v>
      </c>
      <c r="G1746" t="s">
        <v>30</v>
      </c>
      <c r="H1746">
        <v>16395.48</v>
      </c>
      <c r="I1746" t="str">
        <f>"Calder Valley Steiner School"</f>
        <v>Calder Valley Steiner School</v>
      </c>
      <c r="J1746" t="str">
        <f t="shared" si="305"/>
        <v>3 Year Old Funding Other Committees Other Committees Of The Council Agency And Contracted Services Nursery Grant Funding Childrens Services Unit</v>
      </c>
    </row>
    <row r="1747" spans="1:10" x14ac:dyDescent="0.35">
      <c r="A1747" t="str">
        <f t="shared" si="300"/>
        <v>DEC</v>
      </c>
      <c r="B1747" t="str">
        <f t="shared" si="301"/>
        <v>20</v>
      </c>
      <c r="C1747" t="str">
        <f t="shared" si="302"/>
        <v>2020/21</v>
      </c>
      <c r="D1747" t="str">
        <f>"SC EY 217949"</f>
        <v>SC EY 217949</v>
      </c>
      <c r="E1747" t="str">
        <f t="shared" si="303"/>
        <v>SC</v>
      </c>
      <c r="F1747" t="s">
        <v>32</v>
      </c>
      <c r="G1747" t="s">
        <v>30</v>
      </c>
      <c r="H1747">
        <v>761.4</v>
      </c>
      <c r="I1747" t="str">
        <f>"Colden Pre-School Playgroup"</f>
        <v>Colden Pre-School Playgroup</v>
      </c>
      <c r="J1747" t="str">
        <f t="shared" si="305"/>
        <v>3 Year Old Funding Other Committees Other Committees Of The Council Agency And Contracted Services Nursery Grant Funding Childrens Services Unit</v>
      </c>
    </row>
    <row r="1748" spans="1:10" x14ac:dyDescent="0.35">
      <c r="A1748" t="str">
        <f t="shared" si="300"/>
        <v>DEC</v>
      </c>
      <c r="B1748" t="str">
        <f t="shared" si="301"/>
        <v>20</v>
      </c>
      <c r="C1748" t="str">
        <f t="shared" si="302"/>
        <v>2020/21</v>
      </c>
      <c r="E1748" t="str">
        <f t="shared" si="303"/>
        <v/>
      </c>
      <c r="F1748" t="s">
        <v>32</v>
      </c>
      <c r="G1748" t="s">
        <v>30</v>
      </c>
      <c r="H1748">
        <v>7207.92</v>
      </c>
      <c r="I1748" t="str">
        <f>"Colden Pre-School Playgroup"</f>
        <v>Colden Pre-School Playgroup</v>
      </c>
      <c r="J1748" t="str">
        <f t="shared" si="305"/>
        <v>3 Year Old Funding Other Committees Other Committees Of The Council Agency And Contracted Services Nursery Grant Funding Childrens Services Unit</v>
      </c>
    </row>
    <row r="1749" spans="1:10" x14ac:dyDescent="0.35">
      <c r="A1749" t="str">
        <f t="shared" si="300"/>
        <v>DEC</v>
      </c>
      <c r="B1749" t="str">
        <f t="shared" si="301"/>
        <v>20</v>
      </c>
      <c r="C1749" t="str">
        <f t="shared" si="302"/>
        <v>2020/21</v>
      </c>
      <c r="E1749" t="str">
        <f t="shared" si="303"/>
        <v/>
      </c>
      <c r="F1749" t="s">
        <v>32</v>
      </c>
      <c r="G1749" t="s">
        <v>30</v>
      </c>
      <c r="H1749">
        <v>52552.08</v>
      </c>
      <c r="I1749" t="str">
        <f>"Creations Community Childrens Centre"</f>
        <v>Creations Community Childrens Centre</v>
      </c>
      <c r="J1749" t="str">
        <f t="shared" si="305"/>
        <v>3 Year Old Funding Other Committees Other Committees Of The Council Agency And Contracted Services Nursery Grant Funding Childrens Services Unit</v>
      </c>
    </row>
    <row r="1750" spans="1:10" x14ac:dyDescent="0.35">
      <c r="A1750" t="str">
        <f t="shared" si="300"/>
        <v>DEC</v>
      </c>
      <c r="B1750" t="str">
        <f t="shared" si="301"/>
        <v>20</v>
      </c>
      <c r="C1750" t="str">
        <f t="shared" si="302"/>
        <v>2020/21</v>
      </c>
      <c r="D1750" t="str">
        <f>"SC EY 217930"</f>
        <v>SC EY 217930</v>
      </c>
      <c r="E1750" t="str">
        <f t="shared" si="303"/>
        <v>SC</v>
      </c>
      <c r="F1750" t="s">
        <v>32</v>
      </c>
      <c r="G1750" t="s">
        <v>30</v>
      </c>
      <c r="H1750">
        <v>888.3</v>
      </c>
      <c r="I1750" t="str">
        <f>"Crossley Mill Nursery"</f>
        <v>Crossley Mill Nursery</v>
      </c>
      <c r="J1750" t="str">
        <f t="shared" si="305"/>
        <v>3 Year Old Funding Other Committees Other Committees Of The Council Agency And Contracted Services Nursery Grant Funding Childrens Services Unit</v>
      </c>
    </row>
    <row r="1751" spans="1:10" x14ac:dyDescent="0.35">
      <c r="A1751" t="str">
        <f t="shared" si="300"/>
        <v>DEC</v>
      </c>
      <c r="B1751" t="str">
        <f t="shared" si="301"/>
        <v>20</v>
      </c>
      <c r="C1751" t="str">
        <f t="shared" si="302"/>
        <v>2020/21</v>
      </c>
      <c r="E1751" t="str">
        <f t="shared" si="303"/>
        <v/>
      </c>
      <c r="F1751" t="s">
        <v>32</v>
      </c>
      <c r="G1751" t="s">
        <v>30</v>
      </c>
      <c r="H1751">
        <v>35663.040000000001</v>
      </c>
      <c r="I1751" t="str">
        <f>"Crossley Mill Nursery"</f>
        <v>Crossley Mill Nursery</v>
      </c>
      <c r="J1751" t="str">
        <f t="shared" si="305"/>
        <v>3 Year Old Funding Other Committees Other Committees Of The Council Agency And Contracted Services Nursery Grant Funding Childrens Services Unit</v>
      </c>
    </row>
    <row r="1752" spans="1:10" x14ac:dyDescent="0.35">
      <c r="A1752" t="str">
        <f t="shared" si="300"/>
        <v>DEC</v>
      </c>
      <c r="B1752" t="str">
        <f t="shared" si="301"/>
        <v>20</v>
      </c>
      <c r="C1752" t="str">
        <f t="shared" si="302"/>
        <v>2020/21</v>
      </c>
      <c r="E1752" t="str">
        <f t="shared" si="303"/>
        <v/>
      </c>
      <c r="F1752" t="s">
        <v>32</v>
      </c>
      <c r="G1752" t="s">
        <v>30</v>
      </c>
      <c r="H1752">
        <v>31622.400000000001</v>
      </c>
      <c r="I1752" t="str">
        <f>"Halifax Opportunities Trust"</f>
        <v>Halifax Opportunities Trust</v>
      </c>
      <c r="J1752" t="str">
        <f t="shared" si="305"/>
        <v>3 Year Old Funding Other Committees Other Committees Of The Council Agency And Contracted Services Nursery Grant Funding Childrens Services Unit</v>
      </c>
    </row>
    <row r="1753" spans="1:10" x14ac:dyDescent="0.35">
      <c r="A1753" t="str">
        <f t="shared" si="300"/>
        <v>DEC</v>
      </c>
      <c r="B1753" t="str">
        <f t="shared" si="301"/>
        <v>20</v>
      </c>
      <c r="C1753" t="str">
        <f t="shared" si="302"/>
        <v>2020/21</v>
      </c>
      <c r="D1753" t="str">
        <f>"SC EY 217936"</f>
        <v>SC EY 217936</v>
      </c>
      <c r="E1753" t="str">
        <f t="shared" si="303"/>
        <v>SC</v>
      </c>
      <c r="F1753" t="s">
        <v>32</v>
      </c>
      <c r="G1753" t="s">
        <v>30</v>
      </c>
      <c r="H1753">
        <v>1300.1400000000001</v>
      </c>
      <c r="I1753" t="str">
        <f>"Innovations Children's Centre"</f>
        <v>Innovations Children's Centre</v>
      </c>
      <c r="J1753" t="str">
        <f t="shared" si="305"/>
        <v>3 Year Old Funding Other Committees Other Committees Of The Council Agency And Contracted Services Nursery Grant Funding Childrens Services Unit</v>
      </c>
    </row>
    <row r="1754" spans="1:10" x14ac:dyDescent="0.35">
      <c r="A1754" t="str">
        <f t="shared" si="300"/>
        <v>DEC</v>
      </c>
      <c r="B1754" t="str">
        <f t="shared" si="301"/>
        <v>20</v>
      </c>
      <c r="C1754" t="str">
        <f t="shared" si="302"/>
        <v>2020/21</v>
      </c>
      <c r="E1754" t="str">
        <f t="shared" si="303"/>
        <v/>
      </c>
      <c r="F1754" t="s">
        <v>32</v>
      </c>
      <c r="G1754" t="s">
        <v>30</v>
      </c>
      <c r="H1754">
        <v>63542.7</v>
      </c>
      <c r="I1754" t="str">
        <f>"Innovations Children's Centre"</f>
        <v>Innovations Children's Centre</v>
      </c>
      <c r="J1754" t="str">
        <f t="shared" si="305"/>
        <v>3 Year Old Funding Other Committees Other Committees Of The Council Agency And Contracted Services Nursery Grant Funding Childrens Services Unit</v>
      </c>
    </row>
    <row r="1755" spans="1:10" x14ac:dyDescent="0.35">
      <c r="A1755" t="str">
        <f t="shared" si="300"/>
        <v>DEC</v>
      </c>
      <c r="B1755" t="str">
        <f t="shared" si="301"/>
        <v>20</v>
      </c>
      <c r="C1755" t="str">
        <f t="shared" si="302"/>
        <v>2020/21</v>
      </c>
      <c r="E1755" t="str">
        <f t="shared" si="303"/>
        <v/>
      </c>
      <c r="F1755" t="s">
        <v>32</v>
      </c>
      <c r="G1755" t="s">
        <v>30</v>
      </c>
      <c r="H1755">
        <v>38368.44</v>
      </c>
      <c r="I1755" t="str">
        <f>"Jubilee Children's Centre"</f>
        <v>Jubilee Children's Centre</v>
      </c>
      <c r="J1755" t="str">
        <f t="shared" si="305"/>
        <v>3 Year Old Funding Other Committees Other Committees Of The Council Agency And Contracted Services Nursery Grant Funding Childrens Services Unit</v>
      </c>
    </row>
    <row r="1756" spans="1:10" x14ac:dyDescent="0.35">
      <c r="A1756" t="str">
        <f t="shared" si="300"/>
        <v>DEC</v>
      </c>
      <c r="B1756" t="str">
        <f t="shared" si="301"/>
        <v>20</v>
      </c>
      <c r="C1756" t="str">
        <f t="shared" si="302"/>
        <v>2020/21</v>
      </c>
      <c r="E1756" t="str">
        <f t="shared" si="303"/>
        <v/>
      </c>
      <c r="F1756" t="s">
        <v>32</v>
      </c>
      <c r="G1756" t="s">
        <v>30</v>
      </c>
      <c r="H1756">
        <v>30412.799999999999</v>
      </c>
      <c r="I1756" t="str">
        <f>"Ash Green Childrens Centre"</f>
        <v>Ash Green Childrens Centre</v>
      </c>
      <c r="J1756" t="str">
        <f t="shared" si="305"/>
        <v>3 Year Old Funding Other Committees Other Committees Of The Council Agency And Contracted Services Nursery Grant Funding Childrens Services Unit</v>
      </c>
    </row>
    <row r="1757" spans="1:10" x14ac:dyDescent="0.35">
      <c r="A1757" t="str">
        <f t="shared" si="300"/>
        <v>DEC</v>
      </c>
      <c r="B1757" t="str">
        <f t="shared" si="301"/>
        <v>20</v>
      </c>
      <c r="C1757" t="str">
        <f t="shared" si="302"/>
        <v>2020/21</v>
      </c>
      <c r="E1757" t="str">
        <f t="shared" si="303"/>
        <v/>
      </c>
      <c r="F1757" t="s">
        <v>32</v>
      </c>
      <c r="G1757" t="s">
        <v>30</v>
      </c>
      <c r="H1757">
        <v>47568.06</v>
      </c>
      <c r="I1757" t="str">
        <f>"Kevin Pearce Childrens Centre"</f>
        <v>Kevin Pearce Childrens Centre</v>
      </c>
      <c r="J1757" t="str">
        <f t="shared" si="305"/>
        <v>3 Year Old Funding Other Committees Other Committees Of The Council Agency And Contracted Services Nursery Grant Funding Childrens Services Unit</v>
      </c>
    </row>
    <row r="1758" spans="1:10" x14ac:dyDescent="0.35">
      <c r="A1758" t="str">
        <f t="shared" si="300"/>
        <v>DEC</v>
      </c>
      <c r="B1758" t="str">
        <f t="shared" si="301"/>
        <v>20</v>
      </c>
      <c r="C1758" t="str">
        <f t="shared" si="302"/>
        <v>2020/21</v>
      </c>
      <c r="E1758" t="str">
        <f t="shared" si="303"/>
        <v/>
      </c>
      <c r="F1758" t="s">
        <v>32</v>
      </c>
      <c r="G1758" t="s">
        <v>30</v>
      </c>
      <c r="H1758">
        <v>18808.2</v>
      </c>
      <c r="I1758" t="str">
        <f>"St Augustines Centre"</f>
        <v>St Augustines Centre</v>
      </c>
      <c r="J1758" t="str">
        <f t="shared" si="305"/>
        <v>3 Year Old Funding Other Committees Other Committees Of The Council Agency And Contracted Services Nursery Grant Funding Childrens Services Unit</v>
      </c>
    </row>
    <row r="1759" spans="1:10" x14ac:dyDescent="0.35">
      <c r="A1759" t="str">
        <f t="shared" ref="A1759:A1822" si="306">"DEC"</f>
        <v>DEC</v>
      </c>
      <c r="B1759" t="str">
        <f t="shared" si="301"/>
        <v>20</v>
      </c>
      <c r="C1759" t="str">
        <f t="shared" si="302"/>
        <v>2020/21</v>
      </c>
      <c r="E1759" t="str">
        <f t="shared" si="303"/>
        <v/>
      </c>
      <c r="F1759" t="s">
        <v>32</v>
      </c>
      <c r="G1759" t="s">
        <v>30</v>
      </c>
      <c r="H1759">
        <v>10636.92</v>
      </c>
      <c r="I1759" t="str">
        <f>"Sowood Preschool &amp; Community Association"</f>
        <v>Sowood Preschool &amp; Community Association</v>
      </c>
      <c r="J1759" t="str">
        <f t="shared" si="305"/>
        <v>3 Year Old Funding Other Committees Other Committees Of The Council Agency And Contracted Services Nursery Grant Funding Childrens Services Unit</v>
      </c>
    </row>
    <row r="1760" spans="1:10" x14ac:dyDescent="0.35">
      <c r="A1760" t="str">
        <f t="shared" si="306"/>
        <v>DEC</v>
      </c>
      <c r="B1760" t="str">
        <f t="shared" si="301"/>
        <v>20</v>
      </c>
      <c r="C1760" t="str">
        <f t="shared" si="302"/>
        <v>2020/21</v>
      </c>
      <c r="E1760" t="str">
        <f t="shared" si="303"/>
        <v/>
      </c>
      <c r="F1760" t="s">
        <v>32</v>
      </c>
      <c r="G1760" t="s">
        <v>30</v>
      </c>
      <c r="H1760">
        <v>23758.92</v>
      </c>
      <c r="I1760" t="str">
        <f>"Siddal Children's Centre"</f>
        <v>Siddal Children's Centre</v>
      </c>
      <c r="J1760" t="str">
        <f t="shared" si="305"/>
        <v>3 Year Old Funding Other Committees Other Committees Of The Council Agency And Contracted Services Nursery Grant Funding Childrens Services Unit</v>
      </c>
    </row>
    <row r="1761" spans="1:10" x14ac:dyDescent="0.35">
      <c r="A1761" t="str">
        <f t="shared" si="306"/>
        <v>DEC</v>
      </c>
      <c r="B1761" t="str">
        <f t="shared" si="301"/>
        <v>20</v>
      </c>
      <c r="C1761" t="str">
        <f t="shared" si="302"/>
        <v>2020/21</v>
      </c>
      <c r="E1761" t="str">
        <f t="shared" si="303"/>
        <v/>
      </c>
      <c r="F1761" t="s">
        <v>32</v>
      </c>
      <c r="G1761" t="s">
        <v>30</v>
      </c>
      <c r="H1761">
        <v>15385.5</v>
      </c>
      <c r="I1761" t="str">
        <f>"Sticky Fingers Playgroup"</f>
        <v>Sticky Fingers Playgroup</v>
      </c>
      <c r="J1761" t="str">
        <f t="shared" si="305"/>
        <v>3 Year Old Funding Other Committees Other Committees Of The Council Agency And Contracted Services Nursery Grant Funding Childrens Services Unit</v>
      </c>
    </row>
    <row r="1762" spans="1:10" x14ac:dyDescent="0.35">
      <c r="A1762" t="str">
        <f t="shared" si="306"/>
        <v>DEC</v>
      </c>
      <c r="B1762" t="str">
        <f t="shared" si="301"/>
        <v>20</v>
      </c>
      <c r="C1762" t="str">
        <f t="shared" si="302"/>
        <v>2020/21</v>
      </c>
      <c r="E1762" t="str">
        <f t="shared" si="303"/>
        <v/>
      </c>
      <c r="F1762" t="s">
        <v>32</v>
      </c>
      <c r="G1762" t="s">
        <v>30</v>
      </c>
      <c r="H1762">
        <v>16329.6</v>
      </c>
      <c r="I1762" t="str">
        <f>"Todmorden Children's Centre"</f>
        <v>Todmorden Children's Centre</v>
      </c>
      <c r="J1762" t="str">
        <f t="shared" si="305"/>
        <v>3 Year Old Funding Other Committees Other Committees Of The Council Agency And Contracted Services Nursery Grant Funding Childrens Services Unit</v>
      </c>
    </row>
    <row r="1763" spans="1:10" x14ac:dyDescent="0.35">
      <c r="A1763" t="str">
        <f t="shared" si="306"/>
        <v>DEC</v>
      </c>
      <c r="B1763" t="str">
        <f t="shared" si="301"/>
        <v>20</v>
      </c>
      <c r="C1763" t="str">
        <f t="shared" si="302"/>
        <v>2020/21</v>
      </c>
      <c r="E1763" t="str">
        <f t="shared" si="303"/>
        <v/>
      </c>
      <c r="F1763" t="s">
        <v>32</v>
      </c>
      <c r="G1763" t="s">
        <v>30</v>
      </c>
      <c r="H1763">
        <v>5265</v>
      </c>
      <c r="I1763" t="str">
        <f>"Hopscotch Tuel Lane Ltd"</f>
        <v>Hopscotch Tuel Lane Ltd</v>
      </c>
      <c r="J1763" t="str">
        <f t="shared" si="305"/>
        <v>3 Year Old Funding Other Committees Other Committees Of The Council Agency And Contracted Services Nursery Grant Funding Childrens Services Unit</v>
      </c>
    </row>
    <row r="1764" spans="1:10" x14ac:dyDescent="0.35">
      <c r="A1764" t="str">
        <f t="shared" si="306"/>
        <v>DEC</v>
      </c>
      <c r="B1764" t="str">
        <f t="shared" si="301"/>
        <v>20</v>
      </c>
      <c r="C1764" t="str">
        <f t="shared" si="302"/>
        <v>2020/21</v>
      </c>
      <c r="E1764" t="str">
        <f t="shared" si="303"/>
        <v/>
      </c>
      <c r="F1764" t="s">
        <v>32</v>
      </c>
      <c r="G1764" t="s">
        <v>30</v>
      </c>
      <c r="H1764">
        <v>47892.24</v>
      </c>
      <c r="I1764" t="str">
        <f>"Wellholme Children's Centre"</f>
        <v>Wellholme Children's Centre</v>
      </c>
      <c r="J1764" t="str">
        <f t="shared" si="305"/>
        <v>3 Year Old Funding Other Committees Other Committees Of The Council Agency And Contracted Services Nursery Grant Funding Childrens Services Unit</v>
      </c>
    </row>
    <row r="1765" spans="1:10" x14ac:dyDescent="0.35">
      <c r="A1765" t="str">
        <f t="shared" si="306"/>
        <v>DEC</v>
      </c>
      <c r="B1765" t="str">
        <f t="shared" si="301"/>
        <v>20</v>
      </c>
      <c r="C1765" t="str">
        <f t="shared" si="302"/>
        <v>2020/21</v>
      </c>
      <c r="D1765" t="str">
        <f>"SC PF 215479"</f>
        <v>SC PF 215479</v>
      </c>
      <c r="E1765" t="str">
        <f t="shared" si="303"/>
        <v>SC</v>
      </c>
      <c r="F1765" t="s">
        <v>33</v>
      </c>
      <c r="G1765" t="s">
        <v>30</v>
      </c>
      <c r="H1765">
        <v>3276</v>
      </c>
      <c r="I1765" t="str">
        <f>"Barnardos (Fostering &amp; Adoption)"</f>
        <v>Barnardos (Fostering &amp; Adoption)</v>
      </c>
      <c r="J1765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766" spans="1:10" x14ac:dyDescent="0.35">
      <c r="A1766" t="str">
        <f t="shared" si="306"/>
        <v>DEC</v>
      </c>
      <c r="B1766" t="str">
        <f t="shared" si="301"/>
        <v>20</v>
      </c>
      <c r="C1766" t="str">
        <f t="shared" si="302"/>
        <v>2020/21</v>
      </c>
      <c r="D1766" t="str">
        <f>"SC PF 215478"</f>
        <v>SC PF 215478</v>
      </c>
      <c r="E1766" t="str">
        <f t="shared" si="303"/>
        <v>SC</v>
      </c>
      <c r="F1766" t="s">
        <v>33</v>
      </c>
      <c r="G1766" t="s">
        <v>30</v>
      </c>
      <c r="H1766">
        <v>3276</v>
      </c>
      <c r="I1766" t="str">
        <f>"Barnardos (Fostering &amp; Adoption)"</f>
        <v>Barnardos (Fostering &amp; Adoption)</v>
      </c>
      <c r="J1766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767" spans="1:10" x14ac:dyDescent="0.35">
      <c r="A1767" t="str">
        <f t="shared" si="306"/>
        <v>DEC</v>
      </c>
      <c r="B1767" t="str">
        <f t="shared" si="301"/>
        <v>20</v>
      </c>
      <c r="C1767" t="str">
        <f t="shared" si="302"/>
        <v>2020/21</v>
      </c>
      <c r="D1767" t="str">
        <f>"SC PF 215529"</f>
        <v>SC PF 215529</v>
      </c>
      <c r="E1767" t="str">
        <f t="shared" si="303"/>
        <v>SC</v>
      </c>
      <c r="F1767" t="s">
        <v>33</v>
      </c>
      <c r="G1767" t="s">
        <v>30</v>
      </c>
      <c r="H1767">
        <v>3139.8</v>
      </c>
      <c r="I1767" t="str">
        <f>"The Childrens Family Trust"</f>
        <v>The Childrens Family Trust</v>
      </c>
      <c r="J1767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1768" spans="1:10" x14ac:dyDescent="0.35">
      <c r="A1768" t="str">
        <f t="shared" si="306"/>
        <v>DEC</v>
      </c>
      <c r="B1768" t="str">
        <f t="shared" si="301"/>
        <v>20</v>
      </c>
      <c r="C1768" t="str">
        <f t="shared" si="302"/>
        <v>2020/21</v>
      </c>
      <c r="D1768" t="str">
        <f>"SS CO 112753"</f>
        <v>SS CO 112753</v>
      </c>
      <c r="E1768" t="str">
        <f t="shared" si="303"/>
        <v>SS</v>
      </c>
      <c r="F1768" t="s">
        <v>25</v>
      </c>
      <c r="G1768" t="s">
        <v>22</v>
      </c>
      <c r="H1768">
        <v>26250</v>
      </c>
      <c r="I1768" t="str">
        <f>"Calderdale Smartmove"</f>
        <v>Calderdale Smartmove</v>
      </c>
      <c r="J1768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1769" spans="1:10" x14ac:dyDescent="0.35">
      <c r="A1769" t="str">
        <f t="shared" si="306"/>
        <v>DEC</v>
      </c>
      <c r="B1769" t="str">
        <f t="shared" si="301"/>
        <v>20</v>
      </c>
      <c r="C1769" t="str">
        <f t="shared" si="302"/>
        <v>2020/21</v>
      </c>
      <c r="D1769" t="str">
        <f t="shared" ref="D1769:D1775" si="307">"SS SL 114876"</f>
        <v>SS SL 114876</v>
      </c>
      <c r="E1769" t="str">
        <f t="shared" si="303"/>
        <v>SS</v>
      </c>
      <c r="F1769" t="s">
        <v>25</v>
      </c>
      <c r="G1769" t="s">
        <v>22</v>
      </c>
      <c r="H1769">
        <v>1958.4</v>
      </c>
      <c r="I1769" t="str">
        <f t="shared" ref="I1769:I1788" si="308">"Mencap Northern Division"</f>
        <v>Mencap Northern Division</v>
      </c>
      <c r="J1769" t="str">
        <f t="shared" ref="J1769:J1775" si="309"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1770" spans="1:10" x14ac:dyDescent="0.35">
      <c r="A1770" t="str">
        <f t="shared" si="306"/>
        <v>DEC</v>
      </c>
      <c r="B1770" t="str">
        <f t="shared" si="301"/>
        <v>20</v>
      </c>
      <c r="C1770" t="str">
        <f t="shared" si="302"/>
        <v>2020/21</v>
      </c>
      <c r="D1770" t="str">
        <f t="shared" si="307"/>
        <v>SS SL 114876</v>
      </c>
      <c r="E1770" t="str">
        <f t="shared" si="303"/>
        <v>SS</v>
      </c>
      <c r="F1770" t="s">
        <v>25</v>
      </c>
      <c r="G1770" t="s">
        <v>22</v>
      </c>
      <c r="H1770">
        <v>3154</v>
      </c>
      <c r="I1770" t="str">
        <f t="shared" si="308"/>
        <v>Mencap Northern Division</v>
      </c>
      <c r="J1770" t="str">
        <f t="shared" si="309"/>
        <v>Princess Street (Mencap) Voluntary Associations Agency And Contracted Services Supported Living Adult Health &amp; Social Care</v>
      </c>
    </row>
    <row r="1771" spans="1:10" x14ac:dyDescent="0.35">
      <c r="A1771" t="str">
        <f t="shared" si="306"/>
        <v>DEC</v>
      </c>
      <c r="B1771" t="str">
        <f t="shared" si="301"/>
        <v>20</v>
      </c>
      <c r="C1771" t="str">
        <f t="shared" si="302"/>
        <v>2020/21</v>
      </c>
      <c r="D1771" t="str">
        <f t="shared" si="307"/>
        <v>SS SL 114876</v>
      </c>
      <c r="E1771" t="str">
        <f t="shared" si="303"/>
        <v>SS</v>
      </c>
      <c r="F1771" t="s">
        <v>25</v>
      </c>
      <c r="G1771" t="s">
        <v>22</v>
      </c>
      <c r="H1771">
        <v>2241</v>
      </c>
      <c r="I1771" t="str">
        <f t="shared" si="308"/>
        <v>Mencap Northern Division</v>
      </c>
      <c r="J1771" t="str">
        <f t="shared" si="309"/>
        <v>Princess Street (Mencap) Voluntary Associations Agency And Contracted Services Supported Living Adult Health &amp; Social Care</v>
      </c>
    </row>
    <row r="1772" spans="1:10" x14ac:dyDescent="0.35">
      <c r="A1772" t="str">
        <f t="shared" si="306"/>
        <v>DEC</v>
      </c>
      <c r="B1772" t="str">
        <f t="shared" si="301"/>
        <v>20</v>
      </c>
      <c r="C1772" t="str">
        <f t="shared" si="302"/>
        <v>2020/21</v>
      </c>
      <c r="D1772" t="str">
        <f t="shared" si="307"/>
        <v>SS SL 114876</v>
      </c>
      <c r="E1772" t="str">
        <f t="shared" si="303"/>
        <v>SS</v>
      </c>
      <c r="F1772" t="s">
        <v>25</v>
      </c>
      <c r="G1772" t="s">
        <v>22</v>
      </c>
      <c r="H1772">
        <v>1958.4</v>
      </c>
      <c r="I1772" t="str">
        <f t="shared" si="308"/>
        <v>Mencap Northern Division</v>
      </c>
      <c r="J1772" t="str">
        <f t="shared" si="309"/>
        <v>Princess Street (Mencap) Voluntary Associations Agency And Contracted Services Supported Living Adult Health &amp; Social Care</v>
      </c>
    </row>
    <row r="1773" spans="1:10" x14ac:dyDescent="0.35">
      <c r="A1773" t="str">
        <f t="shared" si="306"/>
        <v>DEC</v>
      </c>
      <c r="B1773" t="str">
        <f t="shared" si="301"/>
        <v>20</v>
      </c>
      <c r="C1773" t="str">
        <f t="shared" si="302"/>
        <v>2020/21</v>
      </c>
      <c r="D1773" t="str">
        <f t="shared" si="307"/>
        <v>SS SL 114876</v>
      </c>
      <c r="E1773" t="str">
        <f t="shared" si="303"/>
        <v>SS</v>
      </c>
      <c r="F1773" t="s">
        <v>25</v>
      </c>
      <c r="G1773" t="s">
        <v>22</v>
      </c>
      <c r="H1773">
        <v>1958.4</v>
      </c>
      <c r="I1773" t="str">
        <f t="shared" si="308"/>
        <v>Mencap Northern Division</v>
      </c>
      <c r="J1773" t="str">
        <f t="shared" si="309"/>
        <v>Princess Street (Mencap) Voluntary Associations Agency And Contracted Services Supported Living Adult Health &amp; Social Care</v>
      </c>
    </row>
    <row r="1774" spans="1:10" x14ac:dyDescent="0.35">
      <c r="A1774" t="str">
        <f t="shared" si="306"/>
        <v>DEC</v>
      </c>
      <c r="B1774" t="str">
        <f t="shared" si="301"/>
        <v>20</v>
      </c>
      <c r="C1774" t="str">
        <f t="shared" si="302"/>
        <v>2020/21</v>
      </c>
      <c r="D1774" t="str">
        <f t="shared" si="307"/>
        <v>SS SL 114876</v>
      </c>
      <c r="E1774" t="str">
        <f t="shared" si="303"/>
        <v>SS</v>
      </c>
      <c r="F1774" t="s">
        <v>25</v>
      </c>
      <c r="G1774" t="s">
        <v>22</v>
      </c>
      <c r="H1774">
        <v>1958.4</v>
      </c>
      <c r="I1774" t="str">
        <f t="shared" si="308"/>
        <v>Mencap Northern Division</v>
      </c>
      <c r="J1774" t="str">
        <f t="shared" si="309"/>
        <v>Princess Street (Mencap) Voluntary Associations Agency And Contracted Services Supported Living Adult Health &amp; Social Care</v>
      </c>
    </row>
    <row r="1775" spans="1:10" x14ac:dyDescent="0.35">
      <c r="A1775" t="str">
        <f t="shared" si="306"/>
        <v>DEC</v>
      </c>
      <c r="B1775" t="str">
        <f t="shared" si="301"/>
        <v>20</v>
      </c>
      <c r="C1775" t="str">
        <f t="shared" si="302"/>
        <v>2020/21</v>
      </c>
      <c r="D1775" t="str">
        <f t="shared" si="307"/>
        <v>SS SL 114876</v>
      </c>
      <c r="E1775" t="str">
        <f t="shared" si="303"/>
        <v>SS</v>
      </c>
      <c r="F1775" t="s">
        <v>25</v>
      </c>
      <c r="G1775" t="s">
        <v>22</v>
      </c>
      <c r="H1775">
        <v>979.2</v>
      </c>
      <c r="I1775" t="str">
        <f t="shared" si="308"/>
        <v>Mencap Northern Division</v>
      </c>
      <c r="J1775" t="str">
        <f t="shared" si="309"/>
        <v>Princess Street (Mencap) Voluntary Associations Agency And Contracted Services Supported Living Adult Health &amp; Social Care</v>
      </c>
    </row>
    <row r="1776" spans="1:10" x14ac:dyDescent="0.35">
      <c r="A1776" t="str">
        <f t="shared" si="306"/>
        <v>DEC</v>
      </c>
      <c r="B1776" t="str">
        <f t="shared" si="301"/>
        <v>20</v>
      </c>
      <c r="C1776" t="str">
        <f t="shared" si="302"/>
        <v>2020/21</v>
      </c>
      <c r="D1776" t="str">
        <f t="shared" ref="D1776:D1788" si="310">"SS SL 114875"</f>
        <v>SS SL 114875</v>
      </c>
      <c r="E1776" t="str">
        <f t="shared" si="303"/>
        <v>SS</v>
      </c>
      <c r="F1776" t="s">
        <v>25</v>
      </c>
      <c r="G1776" t="s">
        <v>22</v>
      </c>
      <c r="H1776">
        <v>2207.8000000000002</v>
      </c>
      <c r="I1776" t="str">
        <f t="shared" si="308"/>
        <v>Mencap Northern Division</v>
      </c>
      <c r="J1776" t="str">
        <f t="shared" ref="J1776:J1788" si="311"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1777" spans="1:10" x14ac:dyDescent="0.35">
      <c r="A1777" t="str">
        <f t="shared" si="306"/>
        <v>DEC</v>
      </c>
      <c r="B1777" t="str">
        <f t="shared" si="301"/>
        <v>20</v>
      </c>
      <c r="C1777" t="str">
        <f t="shared" si="302"/>
        <v>2020/21</v>
      </c>
      <c r="D1777" t="str">
        <f t="shared" si="310"/>
        <v>SS SL 114875</v>
      </c>
      <c r="E1777" t="str">
        <f t="shared" si="303"/>
        <v>SS</v>
      </c>
      <c r="F1777" t="s">
        <v>25</v>
      </c>
      <c r="G1777" t="s">
        <v>22</v>
      </c>
      <c r="H1777">
        <v>2606.1999999999998</v>
      </c>
      <c r="I1777" t="str">
        <f t="shared" si="308"/>
        <v>Mencap Northern Division</v>
      </c>
      <c r="J1777" t="str">
        <f t="shared" si="311"/>
        <v>Forest House (Mencap) Voluntary Associations Agency And Contracted Services Supported Living Adult Health &amp; Social Care</v>
      </c>
    </row>
    <row r="1778" spans="1:10" x14ac:dyDescent="0.35">
      <c r="A1778" t="str">
        <f t="shared" si="306"/>
        <v>DEC</v>
      </c>
      <c r="B1778" t="str">
        <f t="shared" si="301"/>
        <v>20</v>
      </c>
      <c r="C1778" t="str">
        <f t="shared" si="302"/>
        <v>2020/21</v>
      </c>
      <c r="D1778" t="str">
        <f t="shared" si="310"/>
        <v>SS SL 114875</v>
      </c>
      <c r="E1778" t="str">
        <f t="shared" si="303"/>
        <v>SS</v>
      </c>
      <c r="F1778" t="s">
        <v>25</v>
      </c>
      <c r="G1778" t="s">
        <v>22</v>
      </c>
      <c r="H1778">
        <v>2207.8000000000002</v>
      </c>
      <c r="I1778" t="str">
        <f t="shared" si="308"/>
        <v>Mencap Northern Division</v>
      </c>
      <c r="J1778" t="str">
        <f t="shared" si="311"/>
        <v>Forest House (Mencap) Voluntary Associations Agency And Contracted Services Supported Living Adult Health &amp; Social Care</v>
      </c>
    </row>
    <row r="1779" spans="1:10" x14ac:dyDescent="0.35">
      <c r="A1779" t="str">
        <f t="shared" si="306"/>
        <v>DEC</v>
      </c>
      <c r="B1779" t="str">
        <f t="shared" si="301"/>
        <v>20</v>
      </c>
      <c r="C1779" t="str">
        <f t="shared" si="302"/>
        <v>2020/21</v>
      </c>
      <c r="D1779" t="str">
        <f t="shared" si="310"/>
        <v>SS SL 114875</v>
      </c>
      <c r="E1779" t="str">
        <f t="shared" si="303"/>
        <v>SS</v>
      </c>
      <c r="F1779" t="s">
        <v>25</v>
      </c>
      <c r="G1779" t="s">
        <v>22</v>
      </c>
      <c r="H1779">
        <v>1859.2</v>
      </c>
      <c r="I1779" t="str">
        <f t="shared" si="308"/>
        <v>Mencap Northern Division</v>
      </c>
      <c r="J1779" t="str">
        <f t="shared" si="311"/>
        <v>Forest House (Mencap) Voluntary Associations Agency And Contracted Services Supported Living Adult Health &amp; Social Care</v>
      </c>
    </row>
    <row r="1780" spans="1:10" x14ac:dyDescent="0.35">
      <c r="A1780" t="str">
        <f t="shared" si="306"/>
        <v>DEC</v>
      </c>
      <c r="B1780" t="str">
        <f t="shared" si="301"/>
        <v>20</v>
      </c>
      <c r="C1780" t="str">
        <f t="shared" si="302"/>
        <v>2020/21</v>
      </c>
      <c r="D1780" t="str">
        <f t="shared" si="310"/>
        <v>SS SL 114875</v>
      </c>
      <c r="E1780" t="str">
        <f t="shared" si="303"/>
        <v>SS</v>
      </c>
      <c r="F1780" t="s">
        <v>25</v>
      </c>
      <c r="G1780" t="s">
        <v>22</v>
      </c>
      <c r="H1780">
        <v>2284.8000000000002</v>
      </c>
      <c r="I1780" t="str">
        <f t="shared" si="308"/>
        <v>Mencap Northern Division</v>
      </c>
      <c r="J1780" t="str">
        <f t="shared" si="311"/>
        <v>Forest House (Mencap) Voluntary Associations Agency And Contracted Services Supported Living Adult Health &amp; Social Care</v>
      </c>
    </row>
    <row r="1781" spans="1:10" x14ac:dyDescent="0.35">
      <c r="A1781" t="str">
        <f t="shared" si="306"/>
        <v>DEC</v>
      </c>
      <c r="B1781" t="str">
        <f t="shared" si="301"/>
        <v>20</v>
      </c>
      <c r="C1781" t="str">
        <f t="shared" si="302"/>
        <v>2020/21</v>
      </c>
      <c r="D1781" t="str">
        <f t="shared" si="310"/>
        <v>SS SL 114875</v>
      </c>
      <c r="E1781" t="str">
        <f t="shared" si="303"/>
        <v>SS</v>
      </c>
      <c r="F1781" t="s">
        <v>25</v>
      </c>
      <c r="G1781" t="s">
        <v>22</v>
      </c>
      <c r="H1781">
        <v>1142.48</v>
      </c>
      <c r="I1781" t="str">
        <f t="shared" si="308"/>
        <v>Mencap Northern Division</v>
      </c>
      <c r="J1781" t="str">
        <f t="shared" si="311"/>
        <v>Forest House (Mencap) Voluntary Associations Agency And Contracted Services Supported Living Adult Health &amp; Social Care</v>
      </c>
    </row>
    <row r="1782" spans="1:10" x14ac:dyDescent="0.35">
      <c r="A1782" t="str">
        <f t="shared" si="306"/>
        <v>DEC</v>
      </c>
      <c r="B1782" t="str">
        <f t="shared" si="301"/>
        <v>20</v>
      </c>
      <c r="C1782" t="str">
        <f t="shared" si="302"/>
        <v>2020/21</v>
      </c>
      <c r="D1782" t="str">
        <f t="shared" si="310"/>
        <v>SS SL 114875</v>
      </c>
      <c r="E1782" t="str">
        <f t="shared" si="303"/>
        <v>SS</v>
      </c>
      <c r="F1782" t="s">
        <v>25</v>
      </c>
      <c r="G1782" t="s">
        <v>22</v>
      </c>
      <c r="H1782">
        <v>-0.08</v>
      </c>
      <c r="I1782" t="str">
        <f t="shared" si="308"/>
        <v>Mencap Northern Division</v>
      </c>
      <c r="J1782" t="str">
        <f t="shared" si="311"/>
        <v>Forest House (Mencap) Voluntary Associations Agency And Contracted Services Supported Living Adult Health &amp; Social Care</v>
      </c>
    </row>
    <row r="1783" spans="1:10" x14ac:dyDescent="0.35">
      <c r="A1783" t="str">
        <f t="shared" si="306"/>
        <v>DEC</v>
      </c>
      <c r="B1783" t="str">
        <f t="shared" si="301"/>
        <v>20</v>
      </c>
      <c r="C1783" t="str">
        <f t="shared" si="302"/>
        <v>2020/21</v>
      </c>
      <c r="D1783" t="str">
        <f t="shared" si="310"/>
        <v>SS SL 114875</v>
      </c>
      <c r="E1783" t="str">
        <f t="shared" si="303"/>
        <v>SS</v>
      </c>
      <c r="F1783" t="s">
        <v>25</v>
      </c>
      <c r="G1783" t="s">
        <v>22</v>
      </c>
      <c r="H1783">
        <v>1859.2</v>
      </c>
      <c r="I1783" t="str">
        <f t="shared" si="308"/>
        <v>Mencap Northern Division</v>
      </c>
      <c r="J1783" t="str">
        <f t="shared" si="311"/>
        <v>Forest House (Mencap) Voluntary Associations Agency And Contracted Services Supported Living Adult Health &amp; Social Care</v>
      </c>
    </row>
    <row r="1784" spans="1:10" x14ac:dyDescent="0.35">
      <c r="A1784" t="str">
        <f t="shared" si="306"/>
        <v>DEC</v>
      </c>
      <c r="B1784" t="str">
        <f t="shared" si="301"/>
        <v>20</v>
      </c>
      <c r="C1784" t="str">
        <f t="shared" si="302"/>
        <v>2020/21</v>
      </c>
      <c r="D1784" t="str">
        <f t="shared" si="310"/>
        <v>SS SL 114875</v>
      </c>
      <c r="E1784" t="str">
        <f t="shared" si="303"/>
        <v>SS</v>
      </c>
      <c r="F1784" t="s">
        <v>25</v>
      </c>
      <c r="G1784" t="s">
        <v>22</v>
      </c>
      <c r="H1784">
        <v>2284.8000000000002</v>
      </c>
      <c r="I1784" t="str">
        <f t="shared" si="308"/>
        <v>Mencap Northern Division</v>
      </c>
      <c r="J1784" t="str">
        <f t="shared" si="311"/>
        <v>Forest House (Mencap) Voluntary Associations Agency And Contracted Services Supported Living Adult Health &amp; Social Care</v>
      </c>
    </row>
    <row r="1785" spans="1:10" x14ac:dyDescent="0.35">
      <c r="A1785" t="str">
        <f t="shared" si="306"/>
        <v>DEC</v>
      </c>
      <c r="B1785" t="str">
        <f t="shared" si="301"/>
        <v>20</v>
      </c>
      <c r="C1785" t="str">
        <f t="shared" si="302"/>
        <v>2020/21</v>
      </c>
      <c r="D1785" t="str">
        <f t="shared" si="310"/>
        <v>SS SL 114875</v>
      </c>
      <c r="E1785" t="str">
        <f t="shared" si="303"/>
        <v>SS</v>
      </c>
      <c r="F1785" t="s">
        <v>25</v>
      </c>
      <c r="G1785" t="s">
        <v>22</v>
      </c>
      <c r="H1785">
        <v>1859.2</v>
      </c>
      <c r="I1785" t="str">
        <f t="shared" si="308"/>
        <v>Mencap Northern Division</v>
      </c>
      <c r="J1785" t="str">
        <f t="shared" si="311"/>
        <v>Forest House (Mencap) Voluntary Associations Agency And Contracted Services Supported Living Adult Health &amp; Social Care</v>
      </c>
    </row>
    <row r="1786" spans="1:10" x14ac:dyDescent="0.35">
      <c r="A1786" t="str">
        <f t="shared" si="306"/>
        <v>DEC</v>
      </c>
      <c r="B1786" t="str">
        <f t="shared" si="301"/>
        <v>20</v>
      </c>
      <c r="C1786" t="str">
        <f t="shared" si="302"/>
        <v>2020/21</v>
      </c>
      <c r="D1786" t="str">
        <f t="shared" si="310"/>
        <v>SS SL 114875</v>
      </c>
      <c r="E1786" t="str">
        <f t="shared" si="303"/>
        <v>SS</v>
      </c>
      <c r="F1786" t="s">
        <v>25</v>
      </c>
      <c r="G1786" t="s">
        <v>22</v>
      </c>
      <c r="H1786">
        <v>2284.8000000000002</v>
      </c>
      <c r="I1786" t="str">
        <f t="shared" si="308"/>
        <v>Mencap Northern Division</v>
      </c>
      <c r="J1786" t="str">
        <f t="shared" si="311"/>
        <v>Forest House (Mencap) Voluntary Associations Agency And Contracted Services Supported Living Adult Health &amp; Social Care</v>
      </c>
    </row>
    <row r="1787" spans="1:10" x14ac:dyDescent="0.35">
      <c r="A1787" t="str">
        <f t="shared" si="306"/>
        <v>DEC</v>
      </c>
      <c r="B1787" t="str">
        <f t="shared" si="301"/>
        <v>20</v>
      </c>
      <c r="C1787" t="str">
        <f t="shared" si="302"/>
        <v>2020/21</v>
      </c>
      <c r="D1787" t="str">
        <f t="shared" si="310"/>
        <v>SS SL 114875</v>
      </c>
      <c r="E1787" t="str">
        <f t="shared" si="303"/>
        <v>SS</v>
      </c>
      <c r="F1787" t="s">
        <v>25</v>
      </c>
      <c r="G1787" t="s">
        <v>22</v>
      </c>
      <c r="H1787">
        <v>929.6</v>
      </c>
      <c r="I1787" t="str">
        <f t="shared" si="308"/>
        <v>Mencap Northern Division</v>
      </c>
      <c r="J1787" t="str">
        <f t="shared" si="311"/>
        <v>Forest House (Mencap) Voluntary Associations Agency And Contracted Services Supported Living Adult Health &amp; Social Care</v>
      </c>
    </row>
    <row r="1788" spans="1:10" x14ac:dyDescent="0.35">
      <c r="A1788" t="str">
        <f t="shared" si="306"/>
        <v>DEC</v>
      </c>
      <c r="B1788" t="str">
        <f t="shared" si="301"/>
        <v>20</v>
      </c>
      <c r="C1788" t="str">
        <f t="shared" si="302"/>
        <v>2020/21</v>
      </c>
      <c r="D1788" t="str">
        <f t="shared" si="310"/>
        <v>SS SL 114875</v>
      </c>
      <c r="E1788" t="str">
        <f t="shared" si="303"/>
        <v>SS</v>
      </c>
      <c r="F1788" t="s">
        <v>25</v>
      </c>
      <c r="G1788" t="s">
        <v>22</v>
      </c>
      <c r="H1788">
        <v>2284.8000000000002</v>
      </c>
      <c r="I1788" t="str">
        <f t="shared" si="308"/>
        <v>Mencap Northern Division</v>
      </c>
      <c r="J1788" t="str">
        <f t="shared" si="311"/>
        <v>Forest House (Mencap) Voluntary Associations Agency And Contracted Services Supported Living Adult Health &amp; Social Care</v>
      </c>
    </row>
    <row r="1789" spans="1:10" x14ac:dyDescent="0.35">
      <c r="A1789" t="str">
        <f t="shared" si="306"/>
        <v>DEC</v>
      </c>
      <c r="B1789" t="str">
        <f t="shared" si="301"/>
        <v>20</v>
      </c>
      <c r="C1789" t="str">
        <f t="shared" si="302"/>
        <v>2020/21</v>
      </c>
      <c r="D1789" t="str">
        <f>"SS SL 113560"</f>
        <v>SS SL 113560</v>
      </c>
      <c r="E1789" t="str">
        <f t="shared" si="303"/>
        <v>SS</v>
      </c>
      <c r="F1789" t="s">
        <v>25</v>
      </c>
      <c r="G1789" t="s">
        <v>22</v>
      </c>
      <c r="H1789">
        <v>2639.96</v>
      </c>
      <c r="I1789" t="str">
        <f>"Camphill Village Trust"</f>
        <v>Camphill Village Trust</v>
      </c>
      <c r="J1789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1790" spans="1:10" x14ac:dyDescent="0.35">
      <c r="A1790" t="str">
        <f t="shared" si="306"/>
        <v>DEC</v>
      </c>
      <c r="B1790" t="str">
        <f t="shared" si="301"/>
        <v>20</v>
      </c>
      <c r="C1790" t="str">
        <f t="shared" si="302"/>
        <v>2020/21</v>
      </c>
      <c r="D1790" t="str">
        <f t="shared" ref="D1790:D1795" si="312">"SS SL 114846"</f>
        <v>SS SL 114846</v>
      </c>
      <c r="E1790" t="str">
        <f t="shared" si="303"/>
        <v>SS</v>
      </c>
      <c r="F1790" t="s">
        <v>25</v>
      </c>
      <c r="G1790" t="s">
        <v>22</v>
      </c>
      <c r="H1790">
        <v>1826</v>
      </c>
      <c r="I1790" t="str">
        <f t="shared" ref="I1790:I1795" si="313">"The Mayfield Trust"</f>
        <v>The Mayfield Trust</v>
      </c>
      <c r="J1790" t="str">
        <f t="shared" ref="J1790:J1795" si="314"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1791" spans="1:10" x14ac:dyDescent="0.35">
      <c r="A1791" t="str">
        <f t="shared" si="306"/>
        <v>DEC</v>
      </c>
      <c r="B1791" t="str">
        <f t="shared" si="301"/>
        <v>20</v>
      </c>
      <c r="C1791" t="str">
        <f t="shared" si="302"/>
        <v>2020/21</v>
      </c>
      <c r="D1791" t="str">
        <f t="shared" si="312"/>
        <v>SS SL 114846</v>
      </c>
      <c r="E1791" t="str">
        <f t="shared" si="303"/>
        <v>SS</v>
      </c>
      <c r="F1791" t="s">
        <v>25</v>
      </c>
      <c r="G1791" t="s">
        <v>22</v>
      </c>
      <c r="H1791">
        <v>2921.6</v>
      </c>
      <c r="I1791" t="str">
        <f t="shared" si="313"/>
        <v>The Mayfield Trust</v>
      </c>
      <c r="J1791" t="str">
        <f t="shared" si="314"/>
        <v>Pye Nest Road (Mayfield Trust) Private Contractors Agency And Contracted Services Supported Living Adult Health &amp; Social Care</v>
      </c>
    </row>
    <row r="1792" spans="1:10" x14ac:dyDescent="0.35">
      <c r="A1792" t="str">
        <f t="shared" si="306"/>
        <v>DEC</v>
      </c>
      <c r="B1792" t="str">
        <f t="shared" si="301"/>
        <v>20</v>
      </c>
      <c r="C1792" t="str">
        <f t="shared" si="302"/>
        <v>2020/21</v>
      </c>
      <c r="D1792" t="str">
        <f t="shared" si="312"/>
        <v>SS SL 114846</v>
      </c>
      <c r="E1792" t="str">
        <f t="shared" si="303"/>
        <v>SS</v>
      </c>
      <c r="F1792" t="s">
        <v>25</v>
      </c>
      <c r="G1792" t="s">
        <v>22</v>
      </c>
      <c r="H1792">
        <v>2921.6</v>
      </c>
      <c r="I1792" t="str">
        <f t="shared" si="313"/>
        <v>The Mayfield Trust</v>
      </c>
      <c r="J1792" t="str">
        <f t="shared" si="314"/>
        <v>Pye Nest Road (Mayfield Trust) Private Contractors Agency And Contracted Services Supported Living Adult Health &amp; Social Care</v>
      </c>
    </row>
    <row r="1793" spans="1:10" x14ac:dyDescent="0.35">
      <c r="A1793" t="str">
        <f t="shared" si="306"/>
        <v>DEC</v>
      </c>
      <c r="B1793" t="str">
        <f t="shared" si="301"/>
        <v>20</v>
      </c>
      <c r="C1793" t="str">
        <f t="shared" si="302"/>
        <v>2020/21</v>
      </c>
      <c r="D1793" t="str">
        <f t="shared" si="312"/>
        <v>SS SL 114846</v>
      </c>
      <c r="E1793" t="str">
        <f t="shared" si="303"/>
        <v>SS</v>
      </c>
      <c r="F1793" t="s">
        <v>25</v>
      </c>
      <c r="G1793" t="s">
        <v>22</v>
      </c>
      <c r="H1793">
        <v>2622.8</v>
      </c>
      <c r="I1793" t="str">
        <f t="shared" si="313"/>
        <v>The Mayfield Trust</v>
      </c>
      <c r="J1793" t="str">
        <f t="shared" si="314"/>
        <v>Pye Nest Road (Mayfield Trust) Private Contractors Agency And Contracted Services Supported Living Adult Health &amp; Social Care</v>
      </c>
    </row>
    <row r="1794" spans="1:10" x14ac:dyDescent="0.35">
      <c r="A1794" t="str">
        <f t="shared" si="306"/>
        <v>DEC</v>
      </c>
      <c r="B1794" t="str">
        <f t="shared" ref="B1794:B1857" si="315">"20"</f>
        <v>20</v>
      </c>
      <c r="C1794" t="str">
        <f t="shared" ref="C1794:C1857" si="316">"2020/21"</f>
        <v>2020/21</v>
      </c>
      <c r="D1794" t="str">
        <f t="shared" si="312"/>
        <v>SS SL 114846</v>
      </c>
      <c r="E1794" t="str">
        <f t="shared" ref="E1794:E1857" si="317">LEFT(D1794,2)</f>
        <v>SS</v>
      </c>
      <c r="F1794" t="s">
        <v>25</v>
      </c>
      <c r="G1794" t="s">
        <v>22</v>
      </c>
      <c r="H1794">
        <v>2284.8000000000002</v>
      </c>
      <c r="I1794" t="str">
        <f t="shared" si="313"/>
        <v>The Mayfield Trust</v>
      </c>
      <c r="J1794" t="str">
        <f t="shared" si="314"/>
        <v>Pye Nest Road (Mayfield Trust) Private Contractors Agency And Contracted Services Supported Living Adult Health &amp; Social Care</v>
      </c>
    </row>
    <row r="1795" spans="1:10" x14ac:dyDescent="0.35">
      <c r="A1795" t="str">
        <f t="shared" si="306"/>
        <v>DEC</v>
      </c>
      <c r="B1795" t="str">
        <f t="shared" si="315"/>
        <v>20</v>
      </c>
      <c r="C1795" t="str">
        <f t="shared" si="316"/>
        <v>2020/21</v>
      </c>
      <c r="D1795" t="str">
        <f t="shared" si="312"/>
        <v>SS SL 114846</v>
      </c>
      <c r="E1795" t="str">
        <f t="shared" si="317"/>
        <v>SS</v>
      </c>
      <c r="F1795" t="s">
        <v>25</v>
      </c>
      <c r="G1795" t="s">
        <v>22</v>
      </c>
      <c r="H1795">
        <v>2556.4</v>
      </c>
      <c r="I1795" t="str">
        <f t="shared" si="313"/>
        <v>The Mayfield Trust</v>
      </c>
      <c r="J1795" t="str">
        <f t="shared" si="314"/>
        <v>Pye Nest Road (Mayfield Trust) Private Contractors Agency And Contracted Services Supported Living Adult Health &amp; Social Care</v>
      </c>
    </row>
    <row r="1796" spans="1:10" x14ac:dyDescent="0.35">
      <c r="A1796" t="str">
        <f t="shared" si="306"/>
        <v>DEC</v>
      </c>
      <c r="B1796" t="str">
        <f t="shared" si="315"/>
        <v>20</v>
      </c>
      <c r="C1796" t="str">
        <f t="shared" si="316"/>
        <v>2020/21</v>
      </c>
      <c r="D1796" t="str">
        <f>"SS SL 114904"</f>
        <v>SS SL 114904</v>
      </c>
      <c r="E1796" t="str">
        <f t="shared" si="317"/>
        <v>SS</v>
      </c>
      <c r="F1796" t="s">
        <v>25</v>
      </c>
      <c r="G1796" t="s">
        <v>22</v>
      </c>
      <c r="H1796">
        <v>3627.1</v>
      </c>
      <c r="I1796" t="str">
        <f t="shared" ref="I1796:I1817" si="318">"Future Directions CIC"</f>
        <v>Future Directions CIC</v>
      </c>
      <c r="J1796" t="str">
        <f t="shared" ref="J1796:J1817" si="319"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1797" spans="1:10" x14ac:dyDescent="0.35">
      <c r="A1797" t="str">
        <f t="shared" si="306"/>
        <v>DEC</v>
      </c>
      <c r="B1797" t="str">
        <f t="shared" si="315"/>
        <v>20</v>
      </c>
      <c r="C1797" t="str">
        <f t="shared" si="316"/>
        <v>2020/21</v>
      </c>
      <c r="D1797" t="str">
        <f>"SS SL 114904"</f>
        <v>SS SL 114904</v>
      </c>
      <c r="E1797" t="str">
        <f t="shared" si="317"/>
        <v>SS</v>
      </c>
      <c r="F1797" t="s">
        <v>25</v>
      </c>
      <c r="G1797" t="s">
        <v>22</v>
      </c>
      <c r="H1797">
        <v>-1.5</v>
      </c>
      <c r="I1797" t="str">
        <f t="shared" si="318"/>
        <v>Future Directions CIC</v>
      </c>
      <c r="J1797" t="str">
        <f t="shared" si="319"/>
        <v>Endeavour House (Future Directions) Private Contractors Agency And Contracted Services Supported Living Adult Health &amp; Social Care</v>
      </c>
    </row>
    <row r="1798" spans="1:10" x14ac:dyDescent="0.35">
      <c r="A1798" t="str">
        <f t="shared" si="306"/>
        <v>DEC</v>
      </c>
      <c r="B1798" t="str">
        <f t="shared" si="315"/>
        <v>20</v>
      </c>
      <c r="C1798" t="str">
        <f t="shared" si="316"/>
        <v>2020/21</v>
      </c>
      <c r="D1798" t="str">
        <f>"SS SL 114906"</f>
        <v>SS SL 114906</v>
      </c>
      <c r="E1798" t="str">
        <f t="shared" si="317"/>
        <v>SS</v>
      </c>
      <c r="F1798" t="s">
        <v>25</v>
      </c>
      <c r="G1798" t="s">
        <v>22</v>
      </c>
      <c r="H1798">
        <v>-193.72</v>
      </c>
      <c r="I1798" t="str">
        <f t="shared" si="318"/>
        <v>Future Directions CIC</v>
      </c>
      <c r="J1798" t="str">
        <f t="shared" si="319"/>
        <v>Endeavour House (Future Directions) Private Contractors Agency And Contracted Services Supported Living Adult Health &amp; Social Care</v>
      </c>
    </row>
    <row r="1799" spans="1:10" x14ac:dyDescent="0.35">
      <c r="A1799" t="str">
        <f t="shared" si="306"/>
        <v>DEC</v>
      </c>
      <c r="B1799" t="str">
        <f t="shared" si="315"/>
        <v>20</v>
      </c>
      <c r="C1799" t="str">
        <f t="shared" si="316"/>
        <v>2020/21</v>
      </c>
      <c r="D1799" t="str">
        <f>"SS SL 114906"</f>
        <v>SS SL 114906</v>
      </c>
      <c r="E1799" t="str">
        <f t="shared" si="317"/>
        <v>SS</v>
      </c>
      <c r="F1799" t="s">
        <v>25</v>
      </c>
      <c r="G1799" t="s">
        <v>22</v>
      </c>
      <c r="H1799">
        <v>813.24</v>
      </c>
      <c r="I1799" t="str">
        <f t="shared" si="318"/>
        <v>Future Directions CIC</v>
      </c>
      <c r="J1799" t="str">
        <f t="shared" si="319"/>
        <v>Endeavour House (Future Directions) Private Contractors Agency And Contracted Services Supported Living Adult Health &amp; Social Care</v>
      </c>
    </row>
    <row r="1800" spans="1:10" x14ac:dyDescent="0.35">
      <c r="A1800" t="str">
        <f t="shared" si="306"/>
        <v>DEC</v>
      </c>
      <c r="B1800" t="str">
        <f t="shared" si="315"/>
        <v>20</v>
      </c>
      <c r="C1800" t="str">
        <f t="shared" si="316"/>
        <v>2020/21</v>
      </c>
      <c r="D1800" t="str">
        <f>"SS SL 114903"</f>
        <v>SS SL 114903</v>
      </c>
      <c r="E1800" t="str">
        <f t="shared" si="317"/>
        <v>SS</v>
      </c>
      <c r="F1800" t="s">
        <v>25</v>
      </c>
      <c r="G1800" t="s">
        <v>22</v>
      </c>
      <c r="H1800">
        <v>3921.75</v>
      </c>
      <c r="I1800" t="str">
        <f t="shared" si="318"/>
        <v>Future Directions CIC</v>
      </c>
      <c r="J1800" t="str">
        <f t="shared" si="319"/>
        <v>Endeavour House (Future Directions) Private Contractors Agency And Contracted Services Supported Living Adult Health &amp; Social Care</v>
      </c>
    </row>
    <row r="1801" spans="1:10" x14ac:dyDescent="0.35">
      <c r="A1801" t="str">
        <f t="shared" si="306"/>
        <v>DEC</v>
      </c>
      <c r="B1801" t="str">
        <f t="shared" si="315"/>
        <v>20</v>
      </c>
      <c r="C1801" t="str">
        <f t="shared" si="316"/>
        <v>2020/21</v>
      </c>
      <c r="D1801" t="str">
        <f>"SS SL 114903"</f>
        <v>SS SL 114903</v>
      </c>
      <c r="E1801" t="str">
        <f t="shared" si="317"/>
        <v>SS</v>
      </c>
      <c r="F1801" t="s">
        <v>25</v>
      </c>
      <c r="G1801" t="s">
        <v>22</v>
      </c>
      <c r="H1801">
        <v>-80.349999999999994</v>
      </c>
      <c r="I1801" t="str">
        <f t="shared" si="318"/>
        <v>Future Directions CIC</v>
      </c>
      <c r="J1801" t="str">
        <f t="shared" si="319"/>
        <v>Endeavour House (Future Directions) Private Contractors Agency And Contracted Services Supported Living Adult Health &amp; Social Care</v>
      </c>
    </row>
    <row r="1802" spans="1:10" x14ac:dyDescent="0.35">
      <c r="A1802" t="str">
        <f t="shared" si="306"/>
        <v>DEC</v>
      </c>
      <c r="B1802" t="str">
        <f t="shared" si="315"/>
        <v>20</v>
      </c>
      <c r="C1802" t="str">
        <f t="shared" si="316"/>
        <v>2020/21</v>
      </c>
      <c r="D1802" t="str">
        <f>"SS SL 114906"</f>
        <v>SS SL 114906</v>
      </c>
      <c r="E1802" t="str">
        <f t="shared" si="317"/>
        <v>SS</v>
      </c>
      <c r="F1802" t="s">
        <v>25</v>
      </c>
      <c r="G1802" t="s">
        <v>22</v>
      </c>
      <c r="H1802">
        <v>664</v>
      </c>
      <c r="I1802" t="str">
        <f t="shared" si="318"/>
        <v>Future Directions CIC</v>
      </c>
      <c r="J1802" t="str">
        <f t="shared" si="319"/>
        <v>Endeavour House (Future Directions) Private Contractors Agency And Contracted Services Supported Living Adult Health &amp; Social Care</v>
      </c>
    </row>
    <row r="1803" spans="1:10" x14ac:dyDescent="0.35">
      <c r="A1803" t="str">
        <f t="shared" si="306"/>
        <v>DEC</v>
      </c>
      <c r="B1803" t="str">
        <f t="shared" si="315"/>
        <v>20</v>
      </c>
      <c r="C1803" t="str">
        <f t="shared" si="316"/>
        <v>2020/21</v>
      </c>
      <c r="D1803" t="str">
        <f>"SS SL 114904"</f>
        <v>SS SL 114904</v>
      </c>
      <c r="E1803" t="str">
        <f t="shared" si="317"/>
        <v>SS</v>
      </c>
      <c r="F1803" t="s">
        <v>25</v>
      </c>
      <c r="G1803" t="s">
        <v>22</v>
      </c>
      <c r="H1803">
        <v>2735.27</v>
      </c>
      <c r="I1803" t="str">
        <f t="shared" si="318"/>
        <v>Future Directions CIC</v>
      </c>
      <c r="J1803" t="str">
        <f t="shared" si="319"/>
        <v>Endeavour House (Future Directions) Private Contractors Agency And Contracted Services Supported Living Adult Health &amp; Social Care</v>
      </c>
    </row>
    <row r="1804" spans="1:10" x14ac:dyDescent="0.35">
      <c r="A1804" t="str">
        <f t="shared" si="306"/>
        <v>DEC</v>
      </c>
      <c r="B1804" t="str">
        <f t="shared" si="315"/>
        <v>20</v>
      </c>
      <c r="C1804" t="str">
        <f t="shared" si="316"/>
        <v>2020/21</v>
      </c>
      <c r="D1804" t="str">
        <f>"SS SL 114904"</f>
        <v>SS SL 114904</v>
      </c>
      <c r="E1804" t="str">
        <f t="shared" si="317"/>
        <v>SS</v>
      </c>
      <c r="F1804" t="s">
        <v>25</v>
      </c>
      <c r="G1804" t="s">
        <v>22</v>
      </c>
      <c r="H1804">
        <v>-2.75</v>
      </c>
      <c r="I1804" t="str">
        <f t="shared" si="318"/>
        <v>Future Directions CIC</v>
      </c>
      <c r="J1804" t="str">
        <f t="shared" si="319"/>
        <v>Endeavour House (Future Directions) Private Contractors Agency And Contracted Services Supported Living Adult Health &amp; Social Care</v>
      </c>
    </row>
    <row r="1805" spans="1:10" x14ac:dyDescent="0.35">
      <c r="A1805" t="str">
        <f t="shared" si="306"/>
        <v>DEC</v>
      </c>
      <c r="B1805" t="str">
        <f t="shared" si="315"/>
        <v>20</v>
      </c>
      <c r="C1805" t="str">
        <f t="shared" si="316"/>
        <v>2020/21</v>
      </c>
      <c r="D1805" t="str">
        <f>"SS SL 114906"</f>
        <v>SS SL 114906</v>
      </c>
      <c r="E1805" t="str">
        <f t="shared" si="317"/>
        <v>SS</v>
      </c>
      <c r="F1805" t="s">
        <v>25</v>
      </c>
      <c r="G1805" t="s">
        <v>22</v>
      </c>
      <c r="H1805">
        <v>498</v>
      </c>
      <c r="I1805" t="str">
        <f t="shared" si="318"/>
        <v>Future Directions CIC</v>
      </c>
      <c r="J1805" t="str">
        <f t="shared" si="319"/>
        <v>Endeavour House (Future Directions) Private Contractors Agency And Contracted Services Supported Living Adult Health &amp; Social Care</v>
      </c>
    </row>
    <row r="1806" spans="1:10" x14ac:dyDescent="0.35">
      <c r="A1806" t="str">
        <f t="shared" si="306"/>
        <v>DEC</v>
      </c>
      <c r="B1806" t="str">
        <f t="shared" si="315"/>
        <v>20</v>
      </c>
      <c r="C1806" t="str">
        <f t="shared" si="316"/>
        <v>2020/21</v>
      </c>
      <c r="D1806" t="str">
        <f>"SS SL 114903"</f>
        <v>SS SL 114903</v>
      </c>
      <c r="E1806" t="str">
        <f t="shared" si="317"/>
        <v>SS</v>
      </c>
      <c r="F1806" t="s">
        <v>25</v>
      </c>
      <c r="G1806" t="s">
        <v>22</v>
      </c>
      <c r="H1806">
        <v>3555.72</v>
      </c>
      <c r="I1806" t="str">
        <f t="shared" si="318"/>
        <v>Future Directions CIC</v>
      </c>
      <c r="J1806" t="str">
        <f t="shared" si="319"/>
        <v>Endeavour House (Future Directions) Private Contractors Agency And Contracted Services Supported Living Adult Health &amp; Social Care</v>
      </c>
    </row>
    <row r="1807" spans="1:10" x14ac:dyDescent="0.35">
      <c r="A1807" t="str">
        <f t="shared" si="306"/>
        <v>DEC</v>
      </c>
      <c r="B1807" t="str">
        <f t="shared" si="315"/>
        <v>20</v>
      </c>
      <c r="C1807" t="str">
        <f t="shared" si="316"/>
        <v>2020/21</v>
      </c>
      <c r="D1807" t="str">
        <f>"SS SL 114903"</f>
        <v>SS SL 114903</v>
      </c>
      <c r="E1807" t="str">
        <f t="shared" si="317"/>
        <v>SS</v>
      </c>
      <c r="F1807" t="s">
        <v>25</v>
      </c>
      <c r="G1807" t="s">
        <v>22</v>
      </c>
      <c r="H1807">
        <v>-62.92</v>
      </c>
      <c r="I1807" t="str">
        <f t="shared" si="318"/>
        <v>Future Directions CIC</v>
      </c>
      <c r="J1807" t="str">
        <f t="shared" si="319"/>
        <v>Endeavour House (Future Directions) Private Contractors Agency And Contracted Services Supported Living Adult Health &amp; Social Care</v>
      </c>
    </row>
    <row r="1808" spans="1:10" x14ac:dyDescent="0.35">
      <c r="A1808" t="str">
        <f t="shared" si="306"/>
        <v>DEC</v>
      </c>
      <c r="B1808" t="str">
        <f t="shared" si="315"/>
        <v>20</v>
      </c>
      <c r="C1808" t="str">
        <f t="shared" si="316"/>
        <v>2020/21</v>
      </c>
      <c r="D1808" t="str">
        <f>"SS SL 114903"</f>
        <v>SS SL 114903</v>
      </c>
      <c r="E1808" t="str">
        <f t="shared" si="317"/>
        <v>SS</v>
      </c>
      <c r="F1808" t="s">
        <v>25</v>
      </c>
      <c r="G1808" t="s">
        <v>22</v>
      </c>
      <c r="H1808">
        <v>-67.489999999999995</v>
      </c>
      <c r="I1808" t="str">
        <f t="shared" si="318"/>
        <v>Future Directions CIC</v>
      </c>
      <c r="J1808" t="str">
        <f t="shared" si="319"/>
        <v>Endeavour House (Future Directions) Private Contractors Agency And Contracted Services Supported Living Adult Health &amp; Social Care</v>
      </c>
    </row>
    <row r="1809" spans="1:10" x14ac:dyDescent="0.35">
      <c r="A1809" t="str">
        <f t="shared" si="306"/>
        <v>DEC</v>
      </c>
      <c r="B1809" t="str">
        <f t="shared" si="315"/>
        <v>20</v>
      </c>
      <c r="C1809" t="str">
        <f t="shared" si="316"/>
        <v>2020/21</v>
      </c>
      <c r="D1809" t="str">
        <f>"SS SL 114903"</f>
        <v>SS SL 114903</v>
      </c>
      <c r="E1809" t="str">
        <f t="shared" si="317"/>
        <v>SS</v>
      </c>
      <c r="F1809" t="s">
        <v>25</v>
      </c>
      <c r="G1809" t="s">
        <v>22</v>
      </c>
      <c r="H1809">
        <v>3576.89</v>
      </c>
      <c r="I1809" t="str">
        <f t="shared" si="318"/>
        <v>Future Directions CIC</v>
      </c>
      <c r="J1809" t="str">
        <f t="shared" si="319"/>
        <v>Endeavour House (Future Directions) Private Contractors Agency And Contracted Services Supported Living Adult Health &amp; Social Care</v>
      </c>
    </row>
    <row r="1810" spans="1:10" x14ac:dyDescent="0.35">
      <c r="A1810" t="str">
        <f t="shared" si="306"/>
        <v>DEC</v>
      </c>
      <c r="B1810" t="str">
        <f t="shared" si="315"/>
        <v>20</v>
      </c>
      <c r="C1810" t="str">
        <f t="shared" si="316"/>
        <v>2020/21</v>
      </c>
      <c r="D1810" t="str">
        <f>"SS SL 114906"</f>
        <v>SS SL 114906</v>
      </c>
      <c r="E1810" t="str">
        <f t="shared" si="317"/>
        <v>SS</v>
      </c>
      <c r="F1810" t="s">
        <v>25</v>
      </c>
      <c r="G1810" t="s">
        <v>22</v>
      </c>
      <c r="H1810">
        <v>996</v>
      </c>
      <c r="I1810" t="str">
        <f t="shared" si="318"/>
        <v>Future Directions CIC</v>
      </c>
      <c r="J1810" t="str">
        <f t="shared" si="319"/>
        <v>Endeavour House (Future Directions) Private Contractors Agency And Contracted Services Supported Living Adult Health &amp; Social Care</v>
      </c>
    </row>
    <row r="1811" spans="1:10" x14ac:dyDescent="0.35">
      <c r="A1811" t="str">
        <f t="shared" si="306"/>
        <v>DEC</v>
      </c>
      <c r="B1811" t="str">
        <f t="shared" si="315"/>
        <v>20</v>
      </c>
      <c r="C1811" t="str">
        <f t="shared" si="316"/>
        <v>2020/21</v>
      </c>
      <c r="D1811" t="str">
        <f>"SS SL 114906"</f>
        <v>SS SL 114906</v>
      </c>
      <c r="E1811" t="str">
        <f t="shared" si="317"/>
        <v>SS</v>
      </c>
      <c r="F1811" t="s">
        <v>25</v>
      </c>
      <c r="G1811" t="s">
        <v>22</v>
      </c>
      <c r="H1811">
        <v>265.60000000000002</v>
      </c>
      <c r="I1811" t="str">
        <f t="shared" si="318"/>
        <v>Future Directions CIC</v>
      </c>
      <c r="J1811" t="str">
        <f t="shared" si="319"/>
        <v>Endeavour House (Future Directions) Private Contractors Agency And Contracted Services Supported Living Adult Health &amp; Social Care</v>
      </c>
    </row>
    <row r="1812" spans="1:10" x14ac:dyDescent="0.35">
      <c r="A1812" t="str">
        <f t="shared" si="306"/>
        <v>DEC</v>
      </c>
      <c r="B1812" t="str">
        <f t="shared" si="315"/>
        <v>20</v>
      </c>
      <c r="C1812" t="str">
        <f t="shared" si="316"/>
        <v>2020/21</v>
      </c>
      <c r="D1812" t="str">
        <f t="shared" ref="D1812:D1817" si="320">"SS SL 114904"</f>
        <v>SS SL 114904</v>
      </c>
      <c r="E1812" t="str">
        <f t="shared" si="317"/>
        <v>SS</v>
      </c>
      <c r="F1812" t="s">
        <v>25</v>
      </c>
      <c r="G1812" t="s">
        <v>22</v>
      </c>
      <c r="H1812">
        <v>-0.03</v>
      </c>
      <c r="I1812" t="str">
        <f t="shared" si="318"/>
        <v>Future Directions CIC</v>
      </c>
      <c r="J1812" t="str">
        <f t="shared" si="319"/>
        <v>Endeavour House (Future Directions) Private Contractors Agency And Contracted Services Supported Living Adult Health &amp; Social Care</v>
      </c>
    </row>
    <row r="1813" spans="1:10" x14ac:dyDescent="0.35">
      <c r="A1813" t="str">
        <f t="shared" si="306"/>
        <v>DEC</v>
      </c>
      <c r="B1813" t="str">
        <f t="shared" si="315"/>
        <v>20</v>
      </c>
      <c r="C1813" t="str">
        <f t="shared" si="316"/>
        <v>2020/21</v>
      </c>
      <c r="D1813" t="str">
        <f t="shared" si="320"/>
        <v>SS SL 114904</v>
      </c>
      <c r="E1813" t="str">
        <f t="shared" si="317"/>
        <v>SS</v>
      </c>
      <c r="F1813" t="s">
        <v>25</v>
      </c>
      <c r="G1813" t="s">
        <v>22</v>
      </c>
      <c r="H1813">
        <v>3130.95</v>
      </c>
      <c r="I1813" t="str">
        <f t="shared" si="318"/>
        <v>Future Directions CIC</v>
      </c>
      <c r="J1813" t="str">
        <f t="shared" si="319"/>
        <v>Endeavour House (Future Directions) Private Contractors Agency And Contracted Services Supported Living Adult Health &amp; Social Care</v>
      </c>
    </row>
    <row r="1814" spans="1:10" x14ac:dyDescent="0.35">
      <c r="A1814" t="str">
        <f t="shared" si="306"/>
        <v>DEC</v>
      </c>
      <c r="B1814" t="str">
        <f t="shared" si="315"/>
        <v>20</v>
      </c>
      <c r="C1814" t="str">
        <f t="shared" si="316"/>
        <v>2020/21</v>
      </c>
      <c r="D1814" t="str">
        <f t="shared" si="320"/>
        <v>SS SL 114904</v>
      </c>
      <c r="E1814" t="str">
        <f t="shared" si="317"/>
        <v>SS</v>
      </c>
      <c r="F1814" t="s">
        <v>25</v>
      </c>
      <c r="G1814" t="s">
        <v>22</v>
      </c>
      <c r="H1814">
        <v>-47.15</v>
      </c>
      <c r="I1814" t="str">
        <f t="shared" si="318"/>
        <v>Future Directions CIC</v>
      </c>
      <c r="J1814" t="str">
        <f t="shared" si="319"/>
        <v>Endeavour House (Future Directions) Private Contractors Agency And Contracted Services Supported Living Adult Health &amp; Social Care</v>
      </c>
    </row>
    <row r="1815" spans="1:10" x14ac:dyDescent="0.35">
      <c r="A1815" t="str">
        <f t="shared" si="306"/>
        <v>DEC</v>
      </c>
      <c r="B1815" t="str">
        <f t="shared" si="315"/>
        <v>20</v>
      </c>
      <c r="C1815" t="str">
        <f t="shared" si="316"/>
        <v>2020/21</v>
      </c>
      <c r="D1815" t="str">
        <f t="shared" si="320"/>
        <v>SS SL 114904</v>
      </c>
      <c r="E1815" t="str">
        <f t="shared" si="317"/>
        <v>SS</v>
      </c>
      <c r="F1815" t="s">
        <v>25</v>
      </c>
      <c r="G1815" t="s">
        <v>22</v>
      </c>
      <c r="H1815">
        <v>3755.75</v>
      </c>
      <c r="I1815" t="str">
        <f t="shared" si="318"/>
        <v>Future Directions CIC</v>
      </c>
      <c r="J1815" t="str">
        <f t="shared" si="319"/>
        <v>Endeavour House (Future Directions) Private Contractors Agency And Contracted Services Supported Living Adult Health &amp; Social Care</v>
      </c>
    </row>
    <row r="1816" spans="1:10" x14ac:dyDescent="0.35">
      <c r="A1816" t="str">
        <f t="shared" si="306"/>
        <v>DEC</v>
      </c>
      <c r="B1816" t="str">
        <f t="shared" si="315"/>
        <v>20</v>
      </c>
      <c r="C1816" t="str">
        <f t="shared" si="316"/>
        <v>2020/21</v>
      </c>
      <c r="D1816" t="str">
        <f t="shared" si="320"/>
        <v>SS SL 114904</v>
      </c>
      <c r="E1816" t="str">
        <f t="shared" si="317"/>
        <v>SS</v>
      </c>
      <c r="F1816" t="s">
        <v>25</v>
      </c>
      <c r="G1816" t="s">
        <v>22</v>
      </c>
      <c r="H1816">
        <v>-2.2000000000000002</v>
      </c>
      <c r="I1816" t="str">
        <f t="shared" si="318"/>
        <v>Future Directions CIC</v>
      </c>
      <c r="J1816" t="str">
        <f t="shared" si="319"/>
        <v>Endeavour House (Future Directions) Private Contractors Agency And Contracted Services Supported Living Adult Health &amp; Social Care</v>
      </c>
    </row>
    <row r="1817" spans="1:10" x14ac:dyDescent="0.35">
      <c r="A1817" t="str">
        <f t="shared" si="306"/>
        <v>DEC</v>
      </c>
      <c r="B1817" t="str">
        <f t="shared" si="315"/>
        <v>20</v>
      </c>
      <c r="C1817" t="str">
        <f t="shared" si="316"/>
        <v>2020/21</v>
      </c>
      <c r="D1817" t="str">
        <f t="shared" si="320"/>
        <v>SS SL 114904</v>
      </c>
      <c r="E1817" t="str">
        <f t="shared" si="317"/>
        <v>SS</v>
      </c>
      <c r="F1817" t="s">
        <v>25</v>
      </c>
      <c r="G1817" t="s">
        <v>22</v>
      </c>
      <c r="H1817">
        <v>3495</v>
      </c>
      <c r="I1817" t="str">
        <f t="shared" si="318"/>
        <v>Future Directions CIC</v>
      </c>
      <c r="J1817" t="str">
        <f t="shared" si="319"/>
        <v>Endeavour House (Future Directions) Private Contractors Agency And Contracted Services Supported Living Adult Health &amp; Social Care</v>
      </c>
    </row>
    <row r="1818" spans="1:10" x14ac:dyDescent="0.35">
      <c r="A1818" t="str">
        <f t="shared" si="306"/>
        <v>DEC</v>
      </c>
      <c r="B1818" t="str">
        <f t="shared" si="315"/>
        <v>20</v>
      </c>
      <c r="C1818" t="str">
        <f t="shared" si="316"/>
        <v>2020/21</v>
      </c>
      <c r="D1818" t="str">
        <f t="shared" ref="D1818:D1833" si="321">"SS SL 114847"</f>
        <v>SS SL 114847</v>
      </c>
      <c r="E1818" t="str">
        <f t="shared" si="317"/>
        <v>SS</v>
      </c>
      <c r="F1818" t="s">
        <v>25</v>
      </c>
      <c r="G1818" t="s">
        <v>22</v>
      </c>
      <c r="H1818">
        <v>2985.44</v>
      </c>
      <c r="I1818" t="str">
        <f t="shared" ref="I1818:I1833" si="322">"The Mayfield Trust"</f>
        <v>The Mayfield Trust</v>
      </c>
      <c r="J1818" t="str">
        <f t="shared" ref="J1818:J1833" si="323"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1819" spans="1:10" x14ac:dyDescent="0.35">
      <c r="A1819" t="str">
        <f t="shared" si="306"/>
        <v>DEC</v>
      </c>
      <c r="B1819" t="str">
        <f t="shared" si="315"/>
        <v>20</v>
      </c>
      <c r="C1819" t="str">
        <f t="shared" si="316"/>
        <v>2020/21</v>
      </c>
      <c r="D1819" t="str">
        <f t="shared" si="321"/>
        <v>SS SL 114847</v>
      </c>
      <c r="E1819" t="str">
        <f t="shared" si="317"/>
        <v>SS</v>
      </c>
      <c r="F1819" t="s">
        <v>25</v>
      </c>
      <c r="G1819" t="s">
        <v>22</v>
      </c>
      <c r="H1819">
        <v>2985.44</v>
      </c>
      <c r="I1819" t="str">
        <f t="shared" si="322"/>
        <v>The Mayfield Trust</v>
      </c>
      <c r="J1819" t="str">
        <f t="shared" si="323"/>
        <v>Dalecroft (Mayfield Trust) Private Contractors Agency And Contracted Services Supported Living Adult Health &amp; Social Care</v>
      </c>
    </row>
    <row r="1820" spans="1:10" x14ac:dyDescent="0.35">
      <c r="A1820" t="str">
        <f t="shared" si="306"/>
        <v>DEC</v>
      </c>
      <c r="B1820" t="str">
        <f t="shared" si="315"/>
        <v>20</v>
      </c>
      <c r="C1820" t="str">
        <f t="shared" si="316"/>
        <v>2020/21</v>
      </c>
      <c r="D1820" t="str">
        <f t="shared" si="321"/>
        <v>SS SL 114847</v>
      </c>
      <c r="E1820" t="str">
        <f t="shared" si="317"/>
        <v>SS</v>
      </c>
      <c r="F1820" t="s">
        <v>25</v>
      </c>
      <c r="G1820" t="s">
        <v>22</v>
      </c>
      <c r="H1820">
        <v>2985.44</v>
      </c>
      <c r="I1820" t="str">
        <f t="shared" si="322"/>
        <v>The Mayfield Trust</v>
      </c>
      <c r="J1820" t="str">
        <f t="shared" si="323"/>
        <v>Dalecroft (Mayfield Trust) Private Contractors Agency And Contracted Services Supported Living Adult Health &amp; Social Care</v>
      </c>
    </row>
    <row r="1821" spans="1:10" x14ac:dyDescent="0.35">
      <c r="A1821" t="str">
        <f t="shared" si="306"/>
        <v>DEC</v>
      </c>
      <c r="B1821" t="str">
        <f t="shared" si="315"/>
        <v>20</v>
      </c>
      <c r="C1821" t="str">
        <f t="shared" si="316"/>
        <v>2020/21</v>
      </c>
      <c r="D1821" t="str">
        <f t="shared" si="321"/>
        <v>SS SL 114847</v>
      </c>
      <c r="E1821" t="str">
        <f t="shared" si="317"/>
        <v>SS</v>
      </c>
      <c r="F1821" t="s">
        <v>25</v>
      </c>
      <c r="G1821" t="s">
        <v>22</v>
      </c>
      <c r="H1821">
        <v>2985.44</v>
      </c>
      <c r="I1821" t="str">
        <f t="shared" si="322"/>
        <v>The Mayfield Trust</v>
      </c>
      <c r="J1821" t="str">
        <f t="shared" si="323"/>
        <v>Dalecroft (Mayfield Trust) Private Contractors Agency And Contracted Services Supported Living Adult Health &amp; Social Care</v>
      </c>
    </row>
    <row r="1822" spans="1:10" x14ac:dyDescent="0.35">
      <c r="A1822" t="str">
        <f t="shared" si="306"/>
        <v>DEC</v>
      </c>
      <c r="B1822" t="str">
        <f t="shared" si="315"/>
        <v>20</v>
      </c>
      <c r="C1822" t="str">
        <f t="shared" si="316"/>
        <v>2020/21</v>
      </c>
      <c r="D1822" t="str">
        <f t="shared" si="321"/>
        <v>SS SL 114847</v>
      </c>
      <c r="E1822" t="str">
        <f t="shared" si="317"/>
        <v>SS</v>
      </c>
      <c r="F1822" t="s">
        <v>25</v>
      </c>
      <c r="G1822" t="s">
        <v>22</v>
      </c>
      <c r="H1822">
        <v>2556.6799999999998</v>
      </c>
      <c r="I1822" t="str">
        <f t="shared" si="322"/>
        <v>The Mayfield Trust</v>
      </c>
      <c r="J1822" t="str">
        <f t="shared" si="323"/>
        <v>Dalecroft (Mayfield Trust) Private Contractors Agency And Contracted Services Supported Living Adult Health &amp; Social Care</v>
      </c>
    </row>
    <row r="1823" spans="1:10" x14ac:dyDescent="0.35">
      <c r="A1823" t="str">
        <f t="shared" ref="A1823:A1886" si="324">"DEC"</f>
        <v>DEC</v>
      </c>
      <c r="B1823" t="str">
        <f t="shared" si="315"/>
        <v>20</v>
      </c>
      <c r="C1823" t="str">
        <f t="shared" si="316"/>
        <v>2020/21</v>
      </c>
      <c r="D1823" t="str">
        <f t="shared" si="321"/>
        <v>SS SL 114847</v>
      </c>
      <c r="E1823" t="str">
        <f t="shared" si="317"/>
        <v>SS</v>
      </c>
      <c r="F1823" t="s">
        <v>25</v>
      </c>
      <c r="G1823" t="s">
        <v>22</v>
      </c>
      <c r="H1823">
        <v>2985.44</v>
      </c>
      <c r="I1823" t="str">
        <f t="shared" si="322"/>
        <v>The Mayfield Trust</v>
      </c>
      <c r="J1823" t="str">
        <f t="shared" si="323"/>
        <v>Dalecroft (Mayfield Trust) Private Contractors Agency And Contracted Services Supported Living Adult Health &amp; Social Care</v>
      </c>
    </row>
    <row r="1824" spans="1:10" x14ac:dyDescent="0.35">
      <c r="A1824" t="str">
        <f t="shared" si="324"/>
        <v>DEC</v>
      </c>
      <c r="B1824" t="str">
        <f t="shared" si="315"/>
        <v>20</v>
      </c>
      <c r="C1824" t="str">
        <f t="shared" si="316"/>
        <v>2020/21</v>
      </c>
      <c r="D1824" t="str">
        <f t="shared" si="321"/>
        <v>SS SL 114847</v>
      </c>
      <c r="E1824" t="str">
        <f t="shared" si="317"/>
        <v>SS</v>
      </c>
      <c r="F1824" t="s">
        <v>25</v>
      </c>
      <c r="G1824" t="s">
        <v>22</v>
      </c>
      <c r="H1824">
        <v>929.6</v>
      </c>
      <c r="I1824" t="str">
        <f t="shared" si="322"/>
        <v>The Mayfield Trust</v>
      </c>
      <c r="J1824" t="str">
        <f t="shared" si="323"/>
        <v>Dalecroft (Mayfield Trust) Private Contractors Agency And Contracted Services Supported Living Adult Health &amp; Social Care</v>
      </c>
    </row>
    <row r="1825" spans="1:10" x14ac:dyDescent="0.35">
      <c r="A1825" t="str">
        <f t="shared" si="324"/>
        <v>DEC</v>
      </c>
      <c r="B1825" t="str">
        <f t="shared" si="315"/>
        <v>20</v>
      </c>
      <c r="C1825" t="str">
        <f t="shared" si="316"/>
        <v>2020/21</v>
      </c>
      <c r="D1825" t="str">
        <f t="shared" si="321"/>
        <v>SS SL 114847</v>
      </c>
      <c r="E1825" t="str">
        <f t="shared" si="317"/>
        <v>SS</v>
      </c>
      <c r="F1825" t="s">
        <v>25</v>
      </c>
      <c r="G1825" t="s">
        <v>22</v>
      </c>
      <c r="H1825">
        <v>2390.4</v>
      </c>
      <c r="I1825" t="str">
        <f t="shared" si="322"/>
        <v>The Mayfield Trust</v>
      </c>
      <c r="J1825" t="str">
        <f t="shared" si="323"/>
        <v>Dalecroft (Mayfield Trust) Private Contractors Agency And Contracted Services Supported Living Adult Health &amp; Social Care</v>
      </c>
    </row>
    <row r="1826" spans="1:10" x14ac:dyDescent="0.35">
      <c r="A1826" t="str">
        <f t="shared" si="324"/>
        <v>DEC</v>
      </c>
      <c r="B1826" t="str">
        <f t="shared" si="315"/>
        <v>20</v>
      </c>
      <c r="C1826" t="str">
        <f t="shared" si="316"/>
        <v>2020/21</v>
      </c>
      <c r="D1826" t="str">
        <f t="shared" si="321"/>
        <v>SS SL 114847</v>
      </c>
      <c r="E1826" t="str">
        <f t="shared" si="317"/>
        <v>SS</v>
      </c>
      <c r="F1826" t="s">
        <v>25</v>
      </c>
      <c r="G1826" t="s">
        <v>22</v>
      </c>
      <c r="H1826">
        <v>2390.4</v>
      </c>
      <c r="I1826" t="str">
        <f t="shared" si="322"/>
        <v>The Mayfield Trust</v>
      </c>
      <c r="J1826" t="str">
        <f t="shared" si="323"/>
        <v>Dalecroft (Mayfield Trust) Private Contractors Agency And Contracted Services Supported Living Adult Health &amp; Social Care</v>
      </c>
    </row>
    <row r="1827" spans="1:10" x14ac:dyDescent="0.35">
      <c r="A1827" t="str">
        <f t="shared" si="324"/>
        <v>DEC</v>
      </c>
      <c r="B1827" t="str">
        <f t="shared" si="315"/>
        <v>20</v>
      </c>
      <c r="C1827" t="str">
        <f t="shared" si="316"/>
        <v>2020/21</v>
      </c>
      <c r="D1827" t="str">
        <f t="shared" si="321"/>
        <v>SS SL 114847</v>
      </c>
      <c r="E1827" t="str">
        <f t="shared" si="317"/>
        <v>SS</v>
      </c>
      <c r="F1827" t="s">
        <v>25</v>
      </c>
      <c r="G1827" t="s">
        <v>22</v>
      </c>
      <c r="H1827">
        <v>2324</v>
      </c>
      <c r="I1827" t="str">
        <f t="shared" si="322"/>
        <v>The Mayfield Trust</v>
      </c>
      <c r="J1827" t="str">
        <f t="shared" si="323"/>
        <v>Dalecroft (Mayfield Trust) Private Contractors Agency And Contracted Services Supported Living Adult Health &amp; Social Care</v>
      </c>
    </row>
    <row r="1828" spans="1:10" x14ac:dyDescent="0.35">
      <c r="A1828" t="str">
        <f t="shared" si="324"/>
        <v>DEC</v>
      </c>
      <c r="B1828" t="str">
        <f t="shared" si="315"/>
        <v>20</v>
      </c>
      <c r="C1828" t="str">
        <f t="shared" si="316"/>
        <v>2020/21</v>
      </c>
      <c r="D1828" t="str">
        <f t="shared" si="321"/>
        <v>SS SL 114847</v>
      </c>
      <c r="E1828" t="str">
        <f t="shared" si="317"/>
        <v>SS</v>
      </c>
      <c r="F1828" t="s">
        <v>25</v>
      </c>
      <c r="G1828" t="s">
        <v>22</v>
      </c>
      <c r="H1828">
        <v>-60.51</v>
      </c>
      <c r="I1828" t="str">
        <f t="shared" si="322"/>
        <v>The Mayfield Trust</v>
      </c>
      <c r="J1828" t="str">
        <f t="shared" si="323"/>
        <v>Dalecroft (Mayfield Trust) Private Contractors Agency And Contracted Services Supported Living Adult Health &amp; Social Care</v>
      </c>
    </row>
    <row r="1829" spans="1:10" x14ac:dyDescent="0.35">
      <c r="A1829" t="str">
        <f t="shared" si="324"/>
        <v>DEC</v>
      </c>
      <c r="B1829" t="str">
        <f t="shared" si="315"/>
        <v>20</v>
      </c>
      <c r="C1829" t="str">
        <f t="shared" si="316"/>
        <v>2020/21</v>
      </c>
      <c r="D1829" t="str">
        <f t="shared" si="321"/>
        <v>SS SL 114847</v>
      </c>
      <c r="E1829" t="str">
        <f t="shared" si="317"/>
        <v>SS</v>
      </c>
      <c r="F1829" t="s">
        <v>25</v>
      </c>
      <c r="G1829" t="s">
        <v>22</v>
      </c>
      <c r="H1829">
        <v>3718.4</v>
      </c>
      <c r="I1829" t="str">
        <f t="shared" si="322"/>
        <v>The Mayfield Trust</v>
      </c>
      <c r="J1829" t="str">
        <f t="shared" si="323"/>
        <v>Dalecroft (Mayfield Trust) Private Contractors Agency And Contracted Services Supported Living Adult Health &amp; Social Care</v>
      </c>
    </row>
    <row r="1830" spans="1:10" x14ac:dyDescent="0.35">
      <c r="A1830" t="str">
        <f t="shared" si="324"/>
        <v>DEC</v>
      </c>
      <c r="B1830" t="str">
        <f t="shared" si="315"/>
        <v>20</v>
      </c>
      <c r="C1830" t="str">
        <f t="shared" si="316"/>
        <v>2020/21</v>
      </c>
      <c r="D1830" t="str">
        <f t="shared" si="321"/>
        <v>SS SL 114847</v>
      </c>
      <c r="E1830" t="str">
        <f t="shared" si="317"/>
        <v>SS</v>
      </c>
      <c r="F1830" t="s">
        <v>25</v>
      </c>
      <c r="G1830" t="s">
        <v>22</v>
      </c>
      <c r="H1830">
        <v>2390.4</v>
      </c>
      <c r="I1830" t="str">
        <f t="shared" si="322"/>
        <v>The Mayfield Trust</v>
      </c>
      <c r="J1830" t="str">
        <f t="shared" si="323"/>
        <v>Dalecroft (Mayfield Trust) Private Contractors Agency And Contracted Services Supported Living Adult Health &amp; Social Care</v>
      </c>
    </row>
    <row r="1831" spans="1:10" x14ac:dyDescent="0.35">
      <c r="A1831" t="str">
        <f t="shared" si="324"/>
        <v>DEC</v>
      </c>
      <c r="B1831" t="str">
        <f t="shared" si="315"/>
        <v>20</v>
      </c>
      <c r="C1831" t="str">
        <f t="shared" si="316"/>
        <v>2020/21</v>
      </c>
      <c r="D1831" t="str">
        <f t="shared" si="321"/>
        <v>SS SL 114847</v>
      </c>
      <c r="E1831" t="str">
        <f t="shared" si="317"/>
        <v>SS</v>
      </c>
      <c r="F1831" t="s">
        <v>25</v>
      </c>
      <c r="G1831" t="s">
        <v>22</v>
      </c>
      <c r="H1831">
        <v>2390.4</v>
      </c>
      <c r="I1831" t="str">
        <f t="shared" si="322"/>
        <v>The Mayfield Trust</v>
      </c>
      <c r="J1831" t="str">
        <f t="shared" si="323"/>
        <v>Dalecroft (Mayfield Trust) Private Contractors Agency And Contracted Services Supported Living Adult Health &amp; Social Care</v>
      </c>
    </row>
    <row r="1832" spans="1:10" x14ac:dyDescent="0.35">
      <c r="A1832" t="str">
        <f t="shared" si="324"/>
        <v>DEC</v>
      </c>
      <c r="B1832" t="str">
        <f t="shared" si="315"/>
        <v>20</v>
      </c>
      <c r="C1832" t="str">
        <f t="shared" si="316"/>
        <v>2020/21</v>
      </c>
      <c r="D1832" t="str">
        <f t="shared" si="321"/>
        <v>SS SL 114847</v>
      </c>
      <c r="E1832" t="str">
        <f t="shared" si="317"/>
        <v>SS</v>
      </c>
      <c r="F1832" t="s">
        <v>25</v>
      </c>
      <c r="G1832" t="s">
        <v>22</v>
      </c>
      <c r="H1832">
        <v>6866.51</v>
      </c>
      <c r="I1832" t="str">
        <f t="shared" si="322"/>
        <v>The Mayfield Trust</v>
      </c>
      <c r="J1832" t="str">
        <f t="shared" si="323"/>
        <v>Dalecroft (Mayfield Trust) Private Contractors Agency And Contracted Services Supported Living Adult Health &amp; Social Care</v>
      </c>
    </row>
    <row r="1833" spans="1:10" x14ac:dyDescent="0.35">
      <c r="A1833" t="str">
        <f t="shared" si="324"/>
        <v>DEC</v>
      </c>
      <c r="B1833" t="str">
        <f t="shared" si="315"/>
        <v>20</v>
      </c>
      <c r="C1833" t="str">
        <f t="shared" si="316"/>
        <v>2020/21</v>
      </c>
      <c r="D1833" t="str">
        <f t="shared" si="321"/>
        <v>SS SL 114847</v>
      </c>
      <c r="E1833" t="str">
        <f t="shared" si="317"/>
        <v>SS</v>
      </c>
      <c r="F1833" t="s">
        <v>25</v>
      </c>
      <c r="G1833" t="s">
        <v>22</v>
      </c>
      <c r="H1833">
        <v>464.8</v>
      </c>
      <c r="I1833" t="str">
        <f t="shared" si="322"/>
        <v>The Mayfield Trust</v>
      </c>
      <c r="J1833" t="str">
        <f t="shared" si="323"/>
        <v>Dalecroft (Mayfield Trust) Private Contractors Agency And Contracted Services Supported Living Adult Health &amp; Social Care</v>
      </c>
    </row>
    <row r="1834" spans="1:10" x14ac:dyDescent="0.35">
      <c r="A1834" t="str">
        <f t="shared" si="324"/>
        <v>DEC</v>
      </c>
      <c r="B1834" t="str">
        <f t="shared" si="315"/>
        <v>20</v>
      </c>
      <c r="C1834" t="str">
        <f t="shared" si="316"/>
        <v>2020/21</v>
      </c>
      <c r="D1834" t="str">
        <f>"SS SL 114877"</f>
        <v>SS SL 114877</v>
      </c>
      <c r="E1834" t="str">
        <f t="shared" si="317"/>
        <v>SS</v>
      </c>
      <c r="F1834" t="s">
        <v>25</v>
      </c>
      <c r="G1834" t="s">
        <v>22</v>
      </c>
      <c r="H1834">
        <v>7428.88</v>
      </c>
      <c r="I1834" t="str">
        <f>"Creative Support Ltd"</f>
        <v>Creative Support Ltd</v>
      </c>
      <c r="J1834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835" spans="1:10" x14ac:dyDescent="0.35">
      <c r="A1835" t="str">
        <f t="shared" si="324"/>
        <v>DEC</v>
      </c>
      <c r="B1835" t="str">
        <f t="shared" si="315"/>
        <v>20</v>
      </c>
      <c r="C1835" t="str">
        <f t="shared" si="316"/>
        <v>2020/21</v>
      </c>
      <c r="D1835" t="str">
        <f>"SS SL 114877"</f>
        <v>SS SL 114877</v>
      </c>
      <c r="E1835" t="str">
        <f t="shared" si="317"/>
        <v>SS</v>
      </c>
      <c r="F1835" t="s">
        <v>25</v>
      </c>
      <c r="G1835" t="s">
        <v>22</v>
      </c>
      <c r="H1835">
        <v>1493.36</v>
      </c>
      <c r="I1835" t="str">
        <f>"Creative Support Ltd"</f>
        <v>Creative Support Ltd</v>
      </c>
      <c r="J1835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836" spans="1:10" x14ac:dyDescent="0.35">
      <c r="A1836" t="str">
        <f t="shared" si="324"/>
        <v>DEC</v>
      </c>
      <c r="B1836" t="str">
        <f t="shared" si="315"/>
        <v>20</v>
      </c>
      <c r="C1836" t="str">
        <f t="shared" si="316"/>
        <v>2020/21</v>
      </c>
      <c r="D1836" t="str">
        <f>"SS SL 114877"</f>
        <v>SS SL 114877</v>
      </c>
      <c r="E1836" t="str">
        <f t="shared" si="317"/>
        <v>SS</v>
      </c>
      <c r="F1836" t="s">
        <v>25</v>
      </c>
      <c r="G1836" t="s">
        <v>22</v>
      </c>
      <c r="H1836">
        <v>-0.05</v>
      </c>
      <c r="I1836" t="str">
        <f>"Creative Support Ltd"</f>
        <v>Creative Support Ltd</v>
      </c>
      <c r="J1836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837" spans="1:10" x14ac:dyDescent="0.35">
      <c r="A1837" t="str">
        <f t="shared" si="324"/>
        <v>DEC</v>
      </c>
      <c r="B1837" t="str">
        <f t="shared" si="315"/>
        <v>20</v>
      </c>
      <c r="C1837" t="str">
        <f t="shared" si="316"/>
        <v>2020/21</v>
      </c>
      <c r="D1837" t="str">
        <f>"SS SL 114877"</f>
        <v>SS SL 114877</v>
      </c>
      <c r="E1837" t="str">
        <f t="shared" si="317"/>
        <v>SS</v>
      </c>
      <c r="F1837" t="s">
        <v>25</v>
      </c>
      <c r="G1837" t="s">
        <v>22</v>
      </c>
      <c r="H1837">
        <v>2526.7199999999998</v>
      </c>
      <c r="I1837" t="str">
        <f>"Creative Support Ltd"</f>
        <v>Creative Support Ltd</v>
      </c>
      <c r="J1837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838" spans="1:10" x14ac:dyDescent="0.35">
      <c r="A1838" t="str">
        <f t="shared" si="324"/>
        <v>DEC</v>
      </c>
      <c r="B1838" t="str">
        <f t="shared" si="315"/>
        <v>20</v>
      </c>
      <c r="C1838" t="str">
        <f t="shared" si="316"/>
        <v>2020/21</v>
      </c>
      <c r="D1838" t="str">
        <f>"SS SL 114877"</f>
        <v>SS SL 114877</v>
      </c>
      <c r="E1838" t="str">
        <f t="shared" si="317"/>
        <v>SS</v>
      </c>
      <c r="F1838" t="s">
        <v>25</v>
      </c>
      <c r="G1838" t="s">
        <v>22</v>
      </c>
      <c r="H1838">
        <v>8368.56</v>
      </c>
      <c r="I1838" t="str">
        <f>"Creative Support Ltd"</f>
        <v>Creative Support Ltd</v>
      </c>
      <c r="J1838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1839" spans="1:10" x14ac:dyDescent="0.35">
      <c r="A1839" t="str">
        <f t="shared" si="324"/>
        <v>DEC</v>
      </c>
      <c r="B1839" t="str">
        <f t="shared" si="315"/>
        <v>20</v>
      </c>
      <c r="C1839" t="str">
        <f t="shared" si="316"/>
        <v>2020/21</v>
      </c>
      <c r="D1839" t="str">
        <f t="shared" ref="D1839:D1868" si="325">"SS SL 114855"</f>
        <v>SS SL 114855</v>
      </c>
      <c r="E1839" t="str">
        <f t="shared" si="317"/>
        <v>SS</v>
      </c>
      <c r="F1839" t="s">
        <v>25</v>
      </c>
      <c r="G1839" t="s">
        <v>22</v>
      </c>
      <c r="H1839">
        <v>1452.5</v>
      </c>
      <c r="I1839" t="str">
        <f t="shared" ref="I1839:I1868" si="326">"The Mayfield Trust"</f>
        <v>The Mayfield Trust</v>
      </c>
      <c r="J1839" t="str">
        <f t="shared" ref="J1839:J1868" si="327"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1840" spans="1:10" x14ac:dyDescent="0.35">
      <c r="A1840" t="str">
        <f t="shared" si="324"/>
        <v>DEC</v>
      </c>
      <c r="B1840" t="str">
        <f t="shared" si="315"/>
        <v>20</v>
      </c>
      <c r="C1840" t="str">
        <f t="shared" si="316"/>
        <v>2020/21</v>
      </c>
      <c r="D1840" t="str">
        <f t="shared" si="325"/>
        <v>SS SL 114855</v>
      </c>
      <c r="E1840" t="str">
        <f t="shared" si="317"/>
        <v>SS</v>
      </c>
      <c r="F1840" t="s">
        <v>25</v>
      </c>
      <c r="G1840" t="s">
        <v>22</v>
      </c>
      <c r="H1840">
        <v>1303.1600000000001</v>
      </c>
      <c r="I1840" t="str">
        <f t="shared" si="326"/>
        <v>The Mayfield Trust</v>
      </c>
      <c r="J1840" t="str">
        <f t="shared" si="327"/>
        <v>Mayfield Mews (Mayfield) Private Contractors Agency And Contracted Services Supported Living Adult Health &amp; Social Care</v>
      </c>
    </row>
    <row r="1841" spans="1:10" x14ac:dyDescent="0.35">
      <c r="A1841" t="str">
        <f t="shared" si="324"/>
        <v>DEC</v>
      </c>
      <c r="B1841" t="str">
        <f t="shared" si="315"/>
        <v>20</v>
      </c>
      <c r="C1841" t="str">
        <f t="shared" si="316"/>
        <v>2020/21</v>
      </c>
      <c r="D1841" t="str">
        <f t="shared" si="325"/>
        <v>SS SL 114855</v>
      </c>
      <c r="E1841" t="str">
        <f t="shared" si="317"/>
        <v>SS</v>
      </c>
      <c r="F1841" t="s">
        <v>25</v>
      </c>
      <c r="G1841" t="s">
        <v>22</v>
      </c>
      <c r="H1841">
        <v>3285.56</v>
      </c>
      <c r="I1841" t="str">
        <f t="shared" si="326"/>
        <v>The Mayfield Trust</v>
      </c>
      <c r="J1841" t="str">
        <f t="shared" si="327"/>
        <v>Mayfield Mews (Mayfield) Private Contractors Agency And Contracted Services Supported Living Adult Health &amp; Social Care</v>
      </c>
    </row>
    <row r="1842" spans="1:10" x14ac:dyDescent="0.35">
      <c r="A1842" t="str">
        <f t="shared" si="324"/>
        <v>DEC</v>
      </c>
      <c r="B1842" t="str">
        <f t="shared" si="315"/>
        <v>20</v>
      </c>
      <c r="C1842" t="str">
        <f t="shared" si="316"/>
        <v>2020/21</v>
      </c>
      <c r="D1842" t="str">
        <f t="shared" si="325"/>
        <v>SS SL 114855</v>
      </c>
      <c r="E1842" t="str">
        <f t="shared" si="317"/>
        <v>SS</v>
      </c>
      <c r="F1842" t="s">
        <v>25</v>
      </c>
      <c r="G1842" t="s">
        <v>22</v>
      </c>
      <c r="H1842">
        <v>3962.16</v>
      </c>
      <c r="I1842" t="str">
        <f t="shared" si="326"/>
        <v>The Mayfield Trust</v>
      </c>
      <c r="J1842" t="str">
        <f t="shared" si="327"/>
        <v>Mayfield Mews (Mayfield) Private Contractors Agency And Contracted Services Supported Living Adult Health &amp; Social Care</v>
      </c>
    </row>
    <row r="1843" spans="1:10" x14ac:dyDescent="0.35">
      <c r="A1843" t="str">
        <f t="shared" si="324"/>
        <v>DEC</v>
      </c>
      <c r="B1843" t="str">
        <f t="shared" si="315"/>
        <v>20</v>
      </c>
      <c r="C1843" t="str">
        <f t="shared" si="316"/>
        <v>2020/21</v>
      </c>
      <c r="D1843" t="str">
        <f t="shared" si="325"/>
        <v>SS SL 114855</v>
      </c>
      <c r="E1843" t="str">
        <f t="shared" si="317"/>
        <v>SS</v>
      </c>
      <c r="F1843" t="s">
        <v>25</v>
      </c>
      <c r="G1843" t="s">
        <v>22</v>
      </c>
      <c r="H1843">
        <v>2832.38</v>
      </c>
      <c r="I1843" t="str">
        <f t="shared" si="326"/>
        <v>The Mayfield Trust</v>
      </c>
      <c r="J1843" t="str">
        <f t="shared" si="327"/>
        <v>Mayfield Mews (Mayfield) Private Contractors Agency And Contracted Services Supported Living Adult Health &amp; Social Care</v>
      </c>
    </row>
    <row r="1844" spans="1:10" x14ac:dyDescent="0.35">
      <c r="A1844" t="str">
        <f t="shared" si="324"/>
        <v>DEC</v>
      </c>
      <c r="B1844" t="str">
        <f t="shared" si="315"/>
        <v>20</v>
      </c>
      <c r="C1844" t="str">
        <f t="shared" si="316"/>
        <v>2020/21</v>
      </c>
      <c r="D1844" t="str">
        <f t="shared" si="325"/>
        <v>SS SL 114855</v>
      </c>
      <c r="E1844" t="str">
        <f t="shared" si="317"/>
        <v>SS</v>
      </c>
      <c r="F1844" t="s">
        <v>25</v>
      </c>
      <c r="G1844" t="s">
        <v>22</v>
      </c>
      <c r="H1844">
        <v>2324</v>
      </c>
      <c r="I1844" t="str">
        <f t="shared" si="326"/>
        <v>The Mayfield Trust</v>
      </c>
      <c r="J1844" t="str">
        <f t="shared" si="327"/>
        <v>Mayfield Mews (Mayfield) Private Contractors Agency And Contracted Services Supported Living Adult Health &amp; Social Care</v>
      </c>
    </row>
    <row r="1845" spans="1:10" x14ac:dyDescent="0.35">
      <c r="A1845" t="str">
        <f t="shared" si="324"/>
        <v>DEC</v>
      </c>
      <c r="B1845" t="str">
        <f t="shared" si="315"/>
        <v>20</v>
      </c>
      <c r="C1845" t="str">
        <f t="shared" si="316"/>
        <v>2020/21</v>
      </c>
      <c r="D1845" t="str">
        <f t="shared" si="325"/>
        <v>SS SL 114855</v>
      </c>
      <c r="E1845" t="str">
        <f t="shared" si="317"/>
        <v>SS</v>
      </c>
      <c r="F1845" t="s">
        <v>25</v>
      </c>
      <c r="G1845" t="s">
        <v>22</v>
      </c>
      <c r="H1845">
        <v>-9.5</v>
      </c>
      <c r="I1845" t="str">
        <f t="shared" si="326"/>
        <v>The Mayfield Trust</v>
      </c>
      <c r="J1845" t="str">
        <f t="shared" si="327"/>
        <v>Mayfield Mews (Mayfield) Private Contractors Agency And Contracted Services Supported Living Adult Health &amp; Social Care</v>
      </c>
    </row>
    <row r="1846" spans="1:10" x14ac:dyDescent="0.35">
      <c r="A1846" t="str">
        <f t="shared" si="324"/>
        <v>DEC</v>
      </c>
      <c r="B1846" t="str">
        <f t="shared" si="315"/>
        <v>20</v>
      </c>
      <c r="C1846" t="str">
        <f t="shared" si="316"/>
        <v>2020/21</v>
      </c>
      <c r="D1846" t="str">
        <f t="shared" si="325"/>
        <v>SS SL 114855</v>
      </c>
      <c r="E1846" t="str">
        <f t="shared" si="317"/>
        <v>SS</v>
      </c>
      <c r="F1846" t="s">
        <v>25</v>
      </c>
      <c r="G1846" t="s">
        <v>22</v>
      </c>
      <c r="H1846">
        <v>1142.4000000000001</v>
      </c>
      <c r="I1846" t="str">
        <f t="shared" si="326"/>
        <v>The Mayfield Trust</v>
      </c>
      <c r="J1846" t="str">
        <f t="shared" si="327"/>
        <v>Mayfield Mews (Mayfield) Private Contractors Agency And Contracted Services Supported Living Adult Health &amp; Social Care</v>
      </c>
    </row>
    <row r="1847" spans="1:10" x14ac:dyDescent="0.35">
      <c r="A1847" t="str">
        <f t="shared" si="324"/>
        <v>DEC</v>
      </c>
      <c r="B1847" t="str">
        <f t="shared" si="315"/>
        <v>20</v>
      </c>
      <c r="C1847" t="str">
        <f t="shared" si="316"/>
        <v>2020/21</v>
      </c>
      <c r="D1847" t="str">
        <f t="shared" si="325"/>
        <v>SS SL 114855</v>
      </c>
      <c r="E1847" t="str">
        <f t="shared" si="317"/>
        <v>SS</v>
      </c>
      <c r="F1847" t="s">
        <v>25</v>
      </c>
      <c r="G1847" t="s">
        <v>22</v>
      </c>
      <c r="H1847">
        <v>2832.38</v>
      </c>
      <c r="I1847" t="str">
        <f t="shared" si="326"/>
        <v>The Mayfield Trust</v>
      </c>
      <c r="J1847" t="str">
        <f t="shared" si="327"/>
        <v>Mayfield Mews (Mayfield) Private Contractors Agency And Contracted Services Supported Living Adult Health &amp; Social Care</v>
      </c>
    </row>
    <row r="1848" spans="1:10" x14ac:dyDescent="0.35">
      <c r="A1848" t="str">
        <f t="shared" si="324"/>
        <v>DEC</v>
      </c>
      <c r="B1848" t="str">
        <f t="shared" si="315"/>
        <v>20</v>
      </c>
      <c r="C1848" t="str">
        <f t="shared" si="316"/>
        <v>2020/21</v>
      </c>
      <c r="D1848" t="str">
        <f t="shared" si="325"/>
        <v>SS SL 114855</v>
      </c>
      <c r="E1848" t="str">
        <f t="shared" si="317"/>
        <v>SS</v>
      </c>
      <c r="F1848" t="s">
        <v>25</v>
      </c>
      <c r="G1848" t="s">
        <v>22</v>
      </c>
      <c r="H1848">
        <v>4974.4799999999996</v>
      </c>
      <c r="I1848" t="str">
        <f t="shared" si="326"/>
        <v>The Mayfield Trust</v>
      </c>
      <c r="J1848" t="str">
        <f t="shared" si="327"/>
        <v>Mayfield Mews (Mayfield) Private Contractors Agency And Contracted Services Supported Living Adult Health &amp; Social Care</v>
      </c>
    </row>
    <row r="1849" spans="1:10" x14ac:dyDescent="0.35">
      <c r="A1849" t="str">
        <f t="shared" si="324"/>
        <v>DEC</v>
      </c>
      <c r="B1849" t="str">
        <f t="shared" si="315"/>
        <v>20</v>
      </c>
      <c r="C1849" t="str">
        <f t="shared" si="316"/>
        <v>2020/21</v>
      </c>
      <c r="D1849" t="str">
        <f t="shared" si="325"/>
        <v>SS SL 114855</v>
      </c>
      <c r="E1849" t="str">
        <f t="shared" si="317"/>
        <v>SS</v>
      </c>
      <c r="F1849" t="s">
        <v>25</v>
      </c>
      <c r="G1849" t="s">
        <v>22</v>
      </c>
      <c r="H1849">
        <v>1452.5</v>
      </c>
      <c r="I1849" t="str">
        <f t="shared" si="326"/>
        <v>The Mayfield Trust</v>
      </c>
      <c r="J1849" t="str">
        <f t="shared" si="327"/>
        <v>Mayfield Mews (Mayfield) Private Contractors Agency And Contracted Services Supported Living Adult Health &amp; Social Care</v>
      </c>
    </row>
    <row r="1850" spans="1:10" x14ac:dyDescent="0.35">
      <c r="A1850" t="str">
        <f t="shared" si="324"/>
        <v>DEC</v>
      </c>
      <c r="B1850" t="str">
        <f t="shared" si="315"/>
        <v>20</v>
      </c>
      <c r="C1850" t="str">
        <f t="shared" si="316"/>
        <v>2020/21</v>
      </c>
      <c r="D1850" t="str">
        <f t="shared" si="325"/>
        <v>SS SL 114855</v>
      </c>
      <c r="E1850" t="str">
        <f t="shared" si="317"/>
        <v>SS</v>
      </c>
      <c r="F1850" t="s">
        <v>25</v>
      </c>
      <c r="G1850" t="s">
        <v>22</v>
      </c>
      <c r="H1850">
        <v>2487.2399999999998</v>
      </c>
      <c r="I1850" t="str">
        <f t="shared" si="326"/>
        <v>The Mayfield Trust</v>
      </c>
      <c r="J1850" t="str">
        <f t="shared" si="327"/>
        <v>Mayfield Mews (Mayfield) Private Contractors Agency And Contracted Services Supported Living Adult Health &amp; Social Care</v>
      </c>
    </row>
    <row r="1851" spans="1:10" x14ac:dyDescent="0.35">
      <c r="A1851" t="str">
        <f t="shared" si="324"/>
        <v>DEC</v>
      </c>
      <c r="B1851" t="str">
        <f t="shared" si="315"/>
        <v>20</v>
      </c>
      <c r="C1851" t="str">
        <f t="shared" si="316"/>
        <v>2020/21</v>
      </c>
      <c r="D1851" t="str">
        <f t="shared" si="325"/>
        <v>SS SL 114855</v>
      </c>
      <c r="E1851" t="str">
        <f t="shared" si="317"/>
        <v>SS</v>
      </c>
      <c r="F1851" t="s">
        <v>25</v>
      </c>
      <c r="G1851" t="s">
        <v>22</v>
      </c>
      <c r="H1851">
        <v>2832.38</v>
      </c>
      <c r="I1851" t="str">
        <f t="shared" si="326"/>
        <v>The Mayfield Trust</v>
      </c>
      <c r="J1851" t="str">
        <f t="shared" si="327"/>
        <v>Mayfield Mews (Mayfield) Private Contractors Agency And Contracted Services Supported Living Adult Health &amp; Social Care</v>
      </c>
    </row>
    <row r="1852" spans="1:10" x14ac:dyDescent="0.35">
      <c r="A1852" t="str">
        <f t="shared" si="324"/>
        <v>DEC</v>
      </c>
      <c r="B1852" t="str">
        <f t="shared" si="315"/>
        <v>20</v>
      </c>
      <c r="C1852" t="str">
        <f t="shared" si="316"/>
        <v>2020/21</v>
      </c>
      <c r="D1852" t="str">
        <f t="shared" si="325"/>
        <v>SS SL 114855</v>
      </c>
      <c r="E1852" t="str">
        <f t="shared" si="317"/>
        <v>SS</v>
      </c>
      <c r="F1852" t="s">
        <v>25</v>
      </c>
      <c r="G1852" t="s">
        <v>22</v>
      </c>
      <c r="H1852">
        <v>2832.38</v>
      </c>
      <c r="I1852" t="str">
        <f t="shared" si="326"/>
        <v>The Mayfield Trust</v>
      </c>
      <c r="J1852" t="str">
        <f t="shared" si="327"/>
        <v>Mayfield Mews (Mayfield) Private Contractors Agency And Contracted Services Supported Living Adult Health &amp; Social Care</v>
      </c>
    </row>
    <row r="1853" spans="1:10" x14ac:dyDescent="0.35">
      <c r="A1853" t="str">
        <f t="shared" si="324"/>
        <v>DEC</v>
      </c>
      <c r="B1853" t="str">
        <f t="shared" si="315"/>
        <v>20</v>
      </c>
      <c r="C1853" t="str">
        <f t="shared" si="316"/>
        <v>2020/21</v>
      </c>
      <c r="D1853" t="str">
        <f t="shared" si="325"/>
        <v>SS SL 114855</v>
      </c>
      <c r="E1853" t="str">
        <f t="shared" si="317"/>
        <v>SS</v>
      </c>
      <c r="F1853" t="s">
        <v>25</v>
      </c>
      <c r="G1853" t="s">
        <v>22</v>
      </c>
      <c r="H1853">
        <v>3285.56</v>
      </c>
      <c r="I1853" t="str">
        <f t="shared" si="326"/>
        <v>The Mayfield Trust</v>
      </c>
      <c r="J1853" t="str">
        <f t="shared" si="327"/>
        <v>Mayfield Mews (Mayfield) Private Contractors Agency And Contracted Services Supported Living Adult Health &amp; Social Care</v>
      </c>
    </row>
    <row r="1854" spans="1:10" x14ac:dyDescent="0.35">
      <c r="A1854" t="str">
        <f t="shared" si="324"/>
        <v>DEC</v>
      </c>
      <c r="B1854" t="str">
        <f t="shared" si="315"/>
        <v>20</v>
      </c>
      <c r="C1854" t="str">
        <f t="shared" si="316"/>
        <v>2020/21</v>
      </c>
      <c r="D1854" t="str">
        <f t="shared" si="325"/>
        <v>SS SL 114855</v>
      </c>
      <c r="E1854" t="str">
        <f t="shared" si="317"/>
        <v>SS</v>
      </c>
      <c r="F1854" t="s">
        <v>25</v>
      </c>
      <c r="G1854" t="s">
        <v>22</v>
      </c>
      <c r="H1854">
        <v>4067</v>
      </c>
      <c r="I1854" t="str">
        <f t="shared" si="326"/>
        <v>The Mayfield Trust</v>
      </c>
      <c r="J1854" t="str">
        <f t="shared" si="327"/>
        <v>Mayfield Mews (Mayfield) Private Contractors Agency And Contracted Services Supported Living Adult Health &amp; Social Care</v>
      </c>
    </row>
    <row r="1855" spans="1:10" x14ac:dyDescent="0.35">
      <c r="A1855" t="str">
        <f t="shared" si="324"/>
        <v>DEC</v>
      </c>
      <c r="B1855" t="str">
        <f t="shared" si="315"/>
        <v>20</v>
      </c>
      <c r="C1855" t="str">
        <f t="shared" si="316"/>
        <v>2020/21</v>
      </c>
      <c r="D1855" t="str">
        <f t="shared" si="325"/>
        <v>SS SL 114855</v>
      </c>
      <c r="E1855" t="str">
        <f t="shared" si="317"/>
        <v>SS</v>
      </c>
      <c r="F1855" t="s">
        <v>25</v>
      </c>
      <c r="G1855" t="s">
        <v>22</v>
      </c>
      <c r="H1855">
        <v>2832.38</v>
      </c>
      <c r="I1855" t="str">
        <f t="shared" si="326"/>
        <v>The Mayfield Trust</v>
      </c>
      <c r="J1855" t="str">
        <f t="shared" si="327"/>
        <v>Mayfield Mews (Mayfield) Private Contractors Agency And Contracted Services Supported Living Adult Health &amp; Social Care</v>
      </c>
    </row>
    <row r="1856" spans="1:10" x14ac:dyDescent="0.35">
      <c r="A1856" t="str">
        <f t="shared" si="324"/>
        <v>DEC</v>
      </c>
      <c r="B1856" t="str">
        <f t="shared" si="315"/>
        <v>20</v>
      </c>
      <c r="C1856" t="str">
        <f t="shared" si="316"/>
        <v>2020/21</v>
      </c>
      <c r="D1856" t="str">
        <f t="shared" si="325"/>
        <v>SS SL 114855</v>
      </c>
      <c r="E1856" t="str">
        <f t="shared" si="317"/>
        <v>SS</v>
      </c>
      <c r="F1856" t="s">
        <v>25</v>
      </c>
      <c r="G1856" t="s">
        <v>22</v>
      </c>
      <c r="H1856">
        <v>2227.6799999999998</v>
      </c>
      <c r="I1856" t="str">
        <f t="shared" si="326"/>
        <v>The Mayfield Trust</v>
      </c>
      <c r="J1856" t="str">
        <f t="shared" si="327"/>
        <v>Mayfield Mews (Mayfield) Private Contractors Agency And Contracted Services Supported Living Adult Health &amp; Social Care</v>
      </c>
    </row>
    <row r="1857" spans="1:10" x14ac:dyDescent="0.35">
      <c r="A1857" t="str">
        <f t="shared" si="324"/>
        <v>DEC</v>
      </c>
      <c r="B1857" t="str">
        <f t="shared" si="315"/>
        <v>20</v>
      </c>
      <c r="C1857" t="str">
        <f t="shared" si="316"/>
        <v>2020/21</v>
      </c>
      <c r="D1857" t="str">
        <f t="shared" si="325"/>
        <v>SS SL 114855</v>
      </c>
      <c r="E1857" t="str">
        <f t="shared" si="317"/>
        <v>SS</v>
      </c>
      <c r="F1857" t="s">
        <v>25</v>
      </c>
      <c r="G1857" t="s">
        <v>22</v>
      </c>
      <c r="H1857">
        <v>2606.3200000000002</v>
      </c>
      <c r="I1857" t="str">
        <f t="shared" si="326"/>
        <v>The Mayfield Trust</v>
      </c>
      <c r="J1857" t="str">
        <f t="shared" si="327"/>
        <v>Mayfield Mews (Mayfield) Private Contractors Agency And Contracted Services Supported Living Adult Health &amp; Social Care</v>
      </c>
    </row>
    <row r="1858" spans="1:10" x14ac:dyDescent="0.35">
      <c r="A1858" t="str">
        <f t="shared" si="324"/>
        <v>DEC</v>
      </c>
      <c r="B1858" t="str">
        <f t="shared" ref="B1858:B1906" si="328">"20"</f>
        <v>20</v>
      </c>
      <c r="C1858" t="str">
        <f t="shared" ref="C1858:C1921" si="329">"2020/21"</f>
        <v>2020/21</v>
      </c>
      <c r="D1858" t="str">
        <f t="shared" si="325"/>
        <v>SS SL 114855</v>
      </c>
      <c r="E1858" t="str">
        <f t="shared" ref="E1858:E1921" si="330">LEFT(D1858,2)</f>
        <v>SS</v>
      </c>
      <c r="F1858" t="s">
        <v>25</v>
      </c>
      <c r="G1858" t="s">
        <v>22</v>
      </c>
      <c r="H1858">
        <v>1981.08</v>
      </c>
      <c r="I1858" t="str">
        <f t="shared" si="326"/>
        <v>The Mayfield Trust</v>
      </c>
      <c r="J1858" t="str">
        <f t="shared" si="327"/>
        <v>Mayfield Mews (Mayfield) Private Contractors Agency And Contracted Services Supported Living Adult Health &amp; Social Care</v>
      </c>
    </row>
    <row r="1859" spans="1:10" x14ac:dyDescent="0.35">
      <c r="A1859" t="str">
        <f t="shared" si="324"/>
        <v>DEC</v>
      </c>
      <c r="B1859" t="str">
        <f t="shared" si="328"/>
        <v>20</v>
      </c>
      <c r="C1859" t="str">
        <f t="shared" si="329"/>
        <v>2020/21</v>
      </c>
      <c r="D1859" t="str">
        <f t="shared" si="325"/>
        <v>SS SL 114855</v>
      </c>
      <c r="E1859" t="str">
        <f t="shared" si="330"/>
        <v>SS</v>
      </c>
      <c r="F1859" t="s">
        <v>25</v>
      </c>
      <c r="G1859" t="s">
        <v>22</v>
      </c>
      <c r="H1859">
        <v>0</v>
      </c>
      <c r="I1859" t="str">
        <f t="shared" si="326"/>
        <v>The Mayfield Trust</v>
      </c>
      <c r="J1859" t="str">
        <f t="shared" si="327"/>
        <v>Mayfield Mews (Mayfield) Private Contractors Agency And Contracted Services Supported Living Adult Health &amp; Social Care</v>
      </c>
    </row>
    <row r="1860" spans="1:10" x14ac:dyDescent="0.35">
      <c r="A1860" t="str">
        <f t="shared" si="324"/>
        <v>DEC</v>
      </c>
      <c r="B1860" t="str">
        <f t="shared" si="328"/>
        <v>20</v>
      </c>
      <c r="C1860" t="str">
        <f t="shared" si="329"/>
        <v>2020/21</v>
      </c>
      <c r="D1860" t="str">
        <f t="shared" si="325"/>
        <v>SS SL 114855</v>
      </c>
      <c r="E1860" t="str">
        <f t="shared" si="330"/>
        <v>SS</v>
      </c>
      <c r="F1860" t="s">
        <v>25</v>
      </c>
      <c r="G1860" t="s">
        <v>22</v>
      </c>
      <c r="H1860">
        <v>2905</v>
      </c>
      <c r="I1860" t="str">
        <f t="shared" si="326"/>
        <v>The Mayfield Trust</v>
      </c>
      <c r="J1860" t="str">
        <f t="shared" si="327"/>
        <v>Mayfield Mews (Mayfield) Private Contractors Agency And Contracted Services Supported Living Adult Health &amp; Social Care</v>
      </c>
    </row>
    <row r="1861" spans="1:10" x14ac:dyDescent="0.35">
      <c r="A1861" t="str">
        <f t="shared" si="324"/>
        <v>DEC</v>
      </c>
      <c r="B1861" t="str">
        <f t="shared" si="328"/>
        <v>20</v>
      </c>
      <c r="C1861" t="str">
        <f t="shared" si="329"/>
        <v>2020/21</v>
      </c>
      <c r="D1861" t="str">
        <f t="shared" si="325"/>
        <v>SS SL 114855</v>
      </c>
      <c r="E1861" t="str">
        <f t="shared" si="330"/>
        <v>SS</v>
      </c>
      <c r="F1861" t="s">
        <v>25</v>
      </c>
      <c r="G1861" t="s">
        <v>22</v>
      </c>
      <c r="H1861">
        <v>2284.8000000000002</v>
      </c>
      <c r="I1861" t="str">
        <f t="shared" si="326"/>
        <v>The Mayfield Trust</v>
      </c>
      <c r="J1861" t="str">
        <f t="shared" si="327"/>
        <v>Mayfield Mews (Mayfield) Private Contractors Agency And Contracted Services Supported Living Adult Health &amp; Social Care</v>
      </c>
    </row>
    <row r="1862" spans="1:10" x14ac:dyDescent="0.35">
      <c r="A1862" t="str">
        <f t="shared" si="324"/>
        <v>DEC</v>
      </c>
      <c r="B1862" t="str">
        <f t="shared" si="328"/>
        <v>20</v>
      </c>
      <c r="C1862" t="str">
        <f t="shared" si="329"/>
        <v>2020/21</v>
      </c>
      <c r="D1862" t="str">
        <f t="shared" si="325"/>
        <v>SS SL 114855</v>
      </c>
      <c r="E1862" t="str">
        <f t="shared" si="330"/>
        <v>SS</v>
      </c>
      <c r="F1862" t="s">
        <v>25</v>
      </c>
      <c r="G1862" t="s">
        <v>22</v>
      </c>
      <c r="H1862">
        <v>2606.3200000000002</v>
      </c>
      <c r="I1862" t="str">
        <f t="shared" si="326"/>
        <v>The Mayfield Trust</v>
      </c>
      <c r="J1862" t="str">
        <f t="shared" si="327"/>
        <v>Mayfield Mews (Mayfield) Private Contractors Agency And Contracted Services Supported Living Adult Health &amp; Social Care</v>
      </c>
    </row>
    <row r="1863" spans="1:10" x14ac:dyDescent="0.35">
      <c r="A1863" t="str">
        <f t="shared" si="324"/>
        <v>DEC</v>
      </c>
      <c r="B1863" t="str">
        <f t="shared" si="328"/>
        <v>20</v>
      </c>
      <c r="C1863" t="str">
        <f t="shared" si="329"/>
        <v>2020/21</v>
      </c>
      <c r="D1863" t="str">
        <f t="shared" si="325"/>
        <v>SS SL 114855</v>
      </c>
      <c r="E1863" t="str">
        <f t="shared" si="330"/>
        <v>SS</v>
      </c>
      <c r="F1863" t="s">
        <v>25</v>
      </c>
      <c r="G1863" t="s">
        <v>22</v>
      </c>
      <c r="H1863">
        <v>2905</v>
      </c>
      <c r="I1863" t="str">
        <f t="shared" si="326"/>
        <v>The Mayfield Trust</v>
      </c>
      <c r="J1863" t="str">
        <f t="shared" si="327"/>
        <v>Mayfield Mews (Mayfield) Private Contractors Agency And Contracted Services Supported Living Adult Health &amp; Social Care</v>
      </c>
    </row>
    <row r="1864" spans="1:10" x14ac:dyDescent="0.35">
      <c r="A1864" t="str">
        <f t="shared" si="324"/>
        <v>DEC</v>
      </c>
      <c r="B1864" t="str">
        <f t="shared" si="328"/>
        <v>20</v>
      </c>
      <c r="C1864" t="str">
        <f t="shared" si="329"/>
        <v>2020/21</v>
      </c>
      <c r="D1864" t="str">
        <f t="shared" si="325"/>
        <v>SS SL 114855</v>
      </c>
      <c r="E1864" t="str">
        <f t="shared" si="330"/>
        <v>SS</v>
      </c>
      <c r="F1864" t="s">
        <v>25</v>
      </c>
      <c r="G1864" t="s">
        <v>22</v>
      </c>
      <c r="H1864">
        <v>2905</v>
      </c>
      <c r="I1864" t="str">
        <f t="shared" si="326"/>
        <v>The Mayfield Trust</v>
      </c>
      <c r="J1864" t="str">
        <f t="shared" si="327"/>
        <v>Mayfield Mews (Mayfield) Private Contractors Agency And Contracted Services Supported Living Adult Health &amp; Social Care</v>
      </c>
    </row>
    <row r="1865" spans="1:10" x14ac:dyDescent="0.35">
      <c r="A1865" t="str">
        <f t="shared" si="324"/>
        <v>DEC</v>
      </c>
      <c r="B1865" t="str">
        <f t="shared" si="328"/>
        <v>20</v>
      </c>
      <c r="C1865" t="str">
        <f t="shared" si="329"/>
        <v>2020/21</v>
      </c>
      <c r="D1865" t="str">
        <f t="shared" si="325"/>
        <v>SS SL 114855</v>
      </c>
      <c r="E1865" t="str">
        <f t="shared" si="330"/>
        <v>SS</v>
      </c>
      <c r="F1865" t="s">
        <v>25</v>
      </c>
      <c r="G1865" t="s">
        <v>22</v>
      </c>
      <c r="H1865">
        <v>3369.8</v>
      </c>
      <c r="I1865" t="str">
        <f t="shared" si="326"/>
        <v>The Mayfield Trust</v>
      </c>
      <c r="J1865" t="str">
        <f t="shared" si="327"/>
        <v>Mayfield Mews (Mayfield) Private Contractors Agency And Contracted Services Supported Living Adult Health &amp; Social Care</v>
      </c>
    </row>
    <row r="1866" spans="1:10" x14ac:dyDescent="0.35">
      <c r="A1866" t="str">
        <f t="shared" si="324"/>
        <v>DEC</v>
      </c>
      <c r="B1866" t="str">
        <f t="shared" si="328"/>
        <v>20</v>
      </c>
      <c r="C1866" t="str">
        <f t="shared" si="329"/>
        <v>2020/21</v>
      </c>
      <c r="D1866" t="str">
        <f t="shared" si="325"/>
        <v>SS SL 114855</v>
      </c>
      <c r="E1866" t="str">
        <f t="shared" si="330"/>
        <v>SS</v>
      </c>
      <c r="F1866" t="s">
        <v>25</v>
      </c>
      <c r="G1866" t="s">
        <v>22</v>
      </c>
      <c r="H1866">
        <v>4648</v>
      </c>
      <c r="I1866" t="str">
        <f t="shared" si="326"/>
        <v>The Mayfield Trust</v>
      </c>
      <c r="J1866" t="str">
        <f t="shared" si="327"/>
        <v>Mayfield Mews (Mayfield) Private Contractors Agency And Contracted Services Supported Living Adult Health &amp; Social Care</v>
      </c>
    </row>
    <row r="1867" spans="1:10" x14ac:dyDescent="0.35">
      <c r="A1867" t="str">
        <f t="shared" si="324"/>
        <v>DEC</v>
      </c>
      <c r="B1867" t="str">
        <f t="shared" si="328"/>
        <v>20</v>
      </c>
      <c r="C1867" t="str">
        <f t="shared" si="329"/>
        <v>2020/21</v>
      </c>
      <c r="D1867" t="str">
        <f t="shared" si="325"/>
        <v>SS SL 114855</v>
      </c>
      <c r="E1867" t="str">
        <f t="shared" si="330"/>
        <v>SS</v>
      </c>
      <c r="F1867" t="s">
        <v>25</v>
      </c>
      <c r="G1867" t="s">
        <v>22</v>
      </c>
      <c r="H1867">
        <v>2000</v>
      </c>
      <c r="I1867" t="str">
        <f t="shared" si="326"/>
        <v>The Mayfield Trust</v>
      </c>
      <c r="J1867" t="str">
        <f t="shared" si="327"/>
        <v>Mayfield Mews (Mayfield) Private Contractors Agency And Contracted Services Supported Living Adult Health &amp; Social Care</v>
      </c>
    </row>
    <row r="1868" spans="1:10" x14ac:dyDescent="0.35">
      <c r="A1868" t="str">
        <f t="shared" si="324"/>
        <v>DEC</v>
      </c>
      <c r="B1868" t="str">
        <f t="shared" si="328"/>
        <v>20</v>
      </c>
      <c r="C1868" t="str">
        <f t="shared" si="329"/>
        <v>2020/21</v>
      </c>
      <c r="D1868" t="str">
        <f t="shared" si="325"/>
        <v>SS SL 114855</v>
      </c>
      <c r="E1868" t="str">
        <f t="shared" si="330"/>
        <v>SS</v>
      </c>
      <c r="F1868" t="s">
        <v>25</v>
      </c>
      <c r="G1868" t="s">
        <v>22</v>
      </c>
      <c r="H1868">
        <v>114.29</v>
      </c>
      <c r="I1868" t="str">
        <f t="shared" si="326"/>
        <v>The Mayfield Trust</v>
      </c>
      <c r="J1868" t="str">
        <f t="shared" si="327"/>
        <v>Mayfield Mews (Mayfield) Private Contractors Agency And Contracted Services Supported Living Adult Health &amp; Social Care</v>
      </c>
    </row>
    <row r="1869" spans="1:10" x14ac:dyDescent="0.35">
      <c r="A1869" t="str">
        <f t="shared" si="324"/>
        <v>DEC</v>
      </c>
      <c r="B1869" t="str">
        <f t="shared" si="328"/>
        <v>20</v>
      </c>
      <c r="C1869" t="str">
        <f t="shared" si="329"/>
        <v>2020/21</v>
      </c>
      <c r="D1869" t="str">
        <f>"SS SL 116543"</f>
        <v>SS SL 116543</v>
      </c>
      <c r="E1869" t="str">
        <f t="shared" si="330"/>
        <v>SS</v>
      </c>
      <c r="F1869" t="s">
        <v>25</v>
      </c>
      <c r="G1869" t="s">
        <v>22</v>
      </c>
      <c r="H1869">
        <v>4538.88</v>
      </c>
      <c r="I1869" t="str">
        <f>"Possabilities CIC"</f>
        <v>Possabilities CIC</v>
      </c>
      <c r="J1869" t="str">
        <f>"Yew Tree (Northowram( Private Contractors Agency And Contracted Services Supported Living Adult Health &amp; Social Care"</f>
        <v>Yew Tree (Northowram( Private Contractors Agency And Contracted Services Supported Living Adult Health &amp; Social Care</v>
      </c>
    </row>
    <row r="1870" spans="1:10" x14ac:dyDescent="0.35">
      <c r="A1870" t="str">
        <f t="shared" si="324"/>
        <v>DEC</v>
      </c>
      <c r="B1870" t="str">
        <f t="shared" si="328"/>
        <v>20</v>
      </c>
      <c r="C1870" t="str">
        <f t="shared" si="329"/>
        <v>2020/21</v>
      </c>
      <c r="D1870" t="str">
        <f>"SS SL 116543"</f>
        <v>SS SL 116543</v>
      </c>
      <c r="E1870" t="str">
        <f t="shared" si="330"/>
        <v>SS</v>
      </c>
      <c r="F1870" t="s">
        <v>25</v>
      </c>
      <c r="G1870" t="s">
        <v>22</v>
      </c>
      <c r="H1870">
        <v>4538.88</v>
      </c>
      <c r="I1870" t="str">
        <f>"Possabilities CIC"</f>
        <v>Possabilities CIC</v>
      </c>
      <c r="J1870" t="str">
        <f>"Yew Tree (Northowram( Private Contractors Agency And Contracted Services Supported Living Adult Health &amp; Social Care"</f>
        <v>Yew Tree (Northowram( Private Contractors Agency And Contracted Services Supported Living Adult Health &amp; Social Care</v>
      </c>
    </row>
    <row r="1871" spans="1:10" x14ac:dyDescent="0.35">
      <c r="A1871" t="str">
        <f t="shared" si="324"/>
        <v>DEC</v>
      </c>
      <c r="B1871" t="str">
        <f t="shared" si="328"/>
        <v>20</v>
      </c>
      <c r="C1871" t="str">
        <f t="shared" si="329"/>
        <v>2020/21</v>
      </c>
      <c r="D1871" t="str">
        <f>"SS CO 114195"</f>
        <v>SS CO 114195</v>
      </c>
      <c r="E1871" t="str">
        <f t="shared" si="330"/>
        <v>SS</v>
      </c>
      <c r="F1871" t="s">
        <v>25</v>
      </c>
      <c r="G1871" t="s">
        <v>22</v>
      </c>
      <c r="H1871">
        <v>2458.33</v>
      </c>
      <c r="I1871" t="str">
        <f>"Our Place"</f>
        <v>Our Place</v>
      </c>
      <c r="J1871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1872" spans="1:10" x14ac:dyDescent="0.35">
      <c r="A1872" t="str">
        <f t="shared" si="324"/>
        <v>DEC</v>
      </c>
      <c r="B1872" t="str">
        <f t="shared" si="328"/>
        <v>20</v>
      </c>
      <c r="C1872" t="str">
        <f t="shared" si="329"/>
        <v>2020/21</v>
      </c>
      <c r="D1872" t="str">
        <f>"SS LD 113194"</f>
        <v>SS LD 113194</v>
      </c>
      <c r="E1872" t="str">
        <f t="shared" si="330"/>
        <v>SS</v>
      </c>
      <c r="F1872" t="s">
        <v>25</v>
      </c>
      <c r="G1872" t="s">
        <v>22</v>
      </c>
      <c r="H1872">
        <v>60000</v>
      </c>
      <c r="I1872" t="str">
        <f>"Calderdale Carers Project"</f>
        <v>Calderdale Carers Project</v>
      </c>
      <c r="J1872" t="str">
        <f>"Calderdale Carers Project SLA (BCF) Voluntary Associations Agency And Contracted Services Carers Support Adult Health &amp; Social Care"</f>
        <v>Calderdale Carers Project SLA (BCF) Voluntary Associations Agency And Contracted Services Carers Support Adult Health &amp; Social Care</v>
      </c>
    </row>
    <row r="1873" spans="1:10" x14ac:dyDescent="0.35">
      <c r="A1873" t="str">
        <f t="shared" si="324"/>
        <v>DEC</v>
      </c>
      <c r="B1873" t="str">
        <f t="shared" si="328"/>
        <v>20</v>
      </c>
      <c r="C1873" t="str">
        <f t="shared" si="329"/>
        <v>2020/21</v>
      </c>
      <c r="E1873" t="str">
        <f t="shared" si="330"/>
        <v/>
      </c>
      <c r="F1873" t="s">
        <v>25</v>
      </c>
      <c r="G1873" t="s">
        <v>22</v>
      </c>
      <c r="H1873">
        <v>17806.48</v>
      </c>
      <c r="I1873" t="str">
        <f>"Anchor Trust"</f>
        <v>Anchor Trust</v>
      </c>
      <c r="J1873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1874" spans="1:10" x14ac:dyDescent="0.35">
      <c r="A1874" t="str">
        <f t="shared" si="324"/>
        <v>DEC</v>
      </c>
      <c r="B1874" t="str">
        <f t="shared" si="328"/>
        <v>20</v>
      </c>
      <c r="C1874" t="str">
        <f t="shared" si="329"/>
        <v>2020/21</v>
      </c>
      <c r="E1874" t="str">
        <f t="shared" si="330"/>
        <v/>
      </c>
      <c r="F1874" t="s">
        <v>25</v>
      </c>
      <c r="G1874" t="s">
        <v>22</v>
      </c>
      <c r="H1874">
        <v>11238.69</v>
      </c>
      <c r="I1874" t="str">
        <f>"Anchor Trust"</f>
        <v>Anchor Trust</v>
      </c>
      <c r="J1874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1875" spans="1:10" x14ac:dyDescent="0.35">
      <c r="A1875" t="str">
        <f t="shared" si="324"/>
        <v>DEC</v>
      </c>
      <c r="B1875" t="str">
        <f t="shared" si="328"/>
        <v>20</v>
      </c>
      <c r="C1875" t="str">
        <f t="shared" si="329"/>
        <v>2020/21</v>
      </c>
      <c r="E1875" t="str">
        <f t="shared" si="330"/>
        <v/>
      </c>
      <c r="F1875" t="s">
        <v>25</v>
      </c>
      <c r="G1875" t="s">
        <v>22</v>
      </c>
      <c r="H1875">
        <v>-6064.88</v>
      </c>
      <c r="I1875" t="str">
        <f>"Anchor Trust"</f>
        <v>Anchor Trust</v>
      </c>
      <c r="J1875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1876" spans="1:10" x14ac:dyDescent="0.35">
      <c r="A1876" t="str">
        <f t="shared" si="324"/>
        <v>DEC</v>
      </c>
      <c r="B1876" t="str">
        <f t="shared" si="328"/>
        <v>20</v>
      </c>
      <c r="C1876" t="str">
        <f t="shared" si="329"/>
        <v>2020/21</v>
      </c>
      <c r="E1876" t="str">
        <f t="shared" si="330"/>
        <v/>
      </c>
      <c r="F1876" t="s">
        <v>25</v>
      </c>
      <c r="G1876" t="s">
        <v>22</v>
      </c>
      <c r="H1876">
        <v>-5164.28</v>
      </c>
      <c r="I1876" t="str">
        <f>"Anchor Trust"</f>
        <v>Anchor Trust</v>
      </c>
      <c r="J1876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1877" spans="1:10" x14ac:dyDescent="0.35">
      <c r="A1877" t="str">
        <f t="shared" si="324"/>
        <v>DEC</v>
      </c>
      <c r="B1877" t="str">
        <f t="shared" si="328"/>
        <v>20</v>
      </c>
      <c r="C1877" t="str">
        <f t="shared" si="329"/>
        <v>2020/21</v>
      </c>
      <c r="E1877" t="str">
        <f t="shared" si="330"/>
        <v/>
      </c>
      <c r="F1877" t="s">
        <v>25</v>
      </c>
      <c r="G1877" t="s">
        <v>22</v>
      </c>
      <c r="H1877">
        <v>21957.48</v>
      </c>
      <c r="I1877" t="str">
        <f>"The Mayfield Trust"</f>
        <v>The Mayfield Trust</v>
      </c>
      <c r="J1877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1878" spans="1:10" x14ac:dyDescent="0.35">
      <c r="A1878" t="str">
        <f t="shared" si="324"/>
        <v>DEC</v>
      </c>
      <c r="B1878" t="str">
        <f t="shared" si="328"/>
        <v>20</v>
      </c>
      <c r="C1878" t="str">
        <f t="shared" si="329"/>
        <v>2020/21</v>
      </c>
      <c r="E1878" t="str">
        <f t="shared" si="330"/>
        <v/>
      </c>
      <c r="F1878" t="s">
        <v>25</v>
      </c>
      <c r="G1878" t="s">
        <v>22</v>
      </c>
      <c r="H1878">
        <v>2554.12</v>
      </c>
      <c r="I1878" t="str">
        <f>"Bridgewood Trust Ltd"</f>
        <v>Bridgewood Trust Ltd</v>
      </c>
      <c r="J1878" t="str">
        <f t="shared" ref="J1878:J1883" si="331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1879" spans="1:10" x14ac:dyDescent="0.35">
      <c r="A1879" t="str">
        <f t="shared" si="324"/>
        <v>DEC</v>
      </c>
      <c r="B1879" t="str">
        <f t="shared" si="328"/>
        <v>20</v>
      </c>
      <c r="C1879" t="str">
        <f t="shared" si="329"/>
        <v>2020/21</v>
      </c>
      <c r="E1879" t="str">
        <f t="shared" si="330"/>
        <v/>
      </c>
      <c r="F1879" t="s">
        <v>25</v>
      </c>
      <c r="G1879" t="s">
        <v>22</v>
      </c>
      <c r="H1879">
        <v>13424.16</v>
      </c>
      <c r="I1879" t="str">
        <f>"Bridgewood Trust Ltd"</f>
        <v>Bridgewood Trust Ltd</v>
      </c>
      <c r="J1879" t="str">
        <f t="shared" si="331"/>
        <v>Residential Placements (Learning Disabilities)-Voluntary Home Voluntary Associations Agency And Contracted Services Residential &amp; Nursing Placem</v>
      </c>
    </row>
    <row r="1880" spans="1:10" x14ac:dyDescent="0.35">
      <c r="A1880" t="str">
        <f t="shared" si="324"/>
        <v>DEC</v>
      </c>
      <c r="B1880" t="str">
        <f t="shared" si="328"/>
        <v>20</v>
      </c>
      <c r="C1880" t="str">
        <f t="shared" si="329"/>
        <v>2020/21</v>
      </c>
      <c r="E1880" t="str">
        <f t="shared" si="330"/>
        <v/>
      </c>
      <c r="F1880" t="s">
        <v>25</v>
      </c>
      <c r="G1880" t="s">
        <v>22</v>
      </c>
      <c r="H1880">
        <v>1849.96</v>
      </c>
      <c r="I1880" t="str">
        <f>"Bridgewood Trust Ltd"</f>
        <v>Bridgewood Trust Ltd</v>
      </c>
      <c r="J1880" t="str">
        <f t="shared" si="331"/>
        <v>Residential Placements (Learning Disabilities)-Voluntary Home Voluntary Associations Agency And Contracted Services Residential &amp; Nursing Placem</v>
      </c>
    </row>
    <row r="1881" spans="1:10" x14ac:dyDescent="0.35">
      <c r="A1881" t="str">
        <f t="shared" si="324"/>
        <v>DEC</v>
      </c>
      <c r="B1881" t="str">
        <f t="shared" si="328"/>
        <v>20</v>
      </c>
      <c r="C1881" t="str">
        <f t="shared" si="329"/>
        <v>2020/21</v>
      </c>
      <c r="E1881" t="str">
        <f t="shared" si="330"/>
        <v/>
      </c>
      <c r="F1881" t="s">
        <v>25</v>
      </c>
      <c r="G1881" t="s">
        <v>22</v>
      </c>
      <c r="H1881">
        <v>2138.2399999999998</v>
      </c>
      <c r="I1881" t="str">
        <f>"Bridgewood Trust Ltd"</f>
        <v>Bridgewood Trust Ltd</v>
      </c>
      <c r="J1881" t="str">
        <f t="shared" si="331"/>
        <v>Residential Placements (Learning Disabilities)-Voluntary Home Voluntary Associations Agency And Contracted Services Residential &amp; Nursing Placem</v>
      </c>
    </row>
    <row r="1882" spans="1:10" x14ac:dyDescent="0.35">
      <c r="A1882" t="str">
        <f t="shared" si="324"/>
        <v>DEC</v>
      </c>
      <c r="B1882" t="str">
        <f t="shared" si="328"/>
        <v>20</v>
      </c>
      <c r="C1882" t="str">
        <f t="shared" si="329"/>
        <v>2020/21</v>
      </c>
      <c r="E1882" t="str">
        <f t="shared" si="330"/>
        <v/>
      </c>
      <c r="F1882" t="s">
        <v>25</v>
      </c>
      <c r="G1882" t="s">
        <v>22</v>
      </c>
      <c r="H1882">
        <v>27764.48</v>
      </c>
      <c r="I1882" t="str">
        <f>"Bridgewood Trust Ltd"</f>
        <v>Bridgewood Trust Ltd</v>
      </c>
      <c r="J1882" t="str">
        <f t="shared" si="331"/>
        <v>Residential Placements (Learning Disabilities)-Voluntary Home Voluntary Associations Agency And Contracted Services Residential &amp; Nursing Placem</v>
      </c>
    </row>
    <row r="1883" spans="1:10" x14ac:dyDescent="0.35">
      <c r="A1883" t="str">
        <f t="shared" si="324"/>
        <v>DEC</v>
      </c>
      <c r="B1883" t="str">
        <f t="shared" si="328"/>
        <v>20</v>
      </c>
      <c r="C1883" t="str">
        <f t="shared" si="329"/>
        <v>2020/21</v>
      </c>
      <c r="E1883" t="str">
        <f t="shared" si="330"/>
        <v/>
      </c>
      <c r="F1883" t="s">
        <v>25</v>
      </c>
      <c r="G1883" t="s">
        <v>22</v>
      </c>
      <c r="H1883">
        <v>6882.04</v>
      </c>
      <c r="I1883" t="str">
        <f>"The Mayfield Trust"</f>
        <v>The Mayfield Trust</v>
      </c>
      <c r="J1883" t="str">
        <f t="shared" si="331"/>
        <v>Residential Placements (Learning Disabilities)-Voluntary Home Voluntary Associations Agency And Contracted Services Residential &amp; Nursing Placem</v>
      </c>
    </row>
    <row r="1884" spans="1:10" x14ac:dyDescent="0.35">
      <c r="A1884" t="str">
        <f t="shared" si="324"/>
        <v>DEC</v>
      </c>
      <c r="B1884" t="str">
        <f t="shared" si="328"/>
        <v>20</v>
      </c>
      <c r="C1884" t="str">
        <f t="shared" si="329"/>
        <v>2020/21</v>
      </c>
      <c r="E1884" t="str">
        <f t="shared" si="330"/>
        <v/>
      </c>
      <c r="F1884" t="s">
        <v>25</v>
      </c>
      <c r="G1884" t="s">
        <v>22</v>
      </c>
      <c r="H1884">
        <v>7243.28</v>
      </c>
      <c r="I1884" t="str">
        <f>"Henshaws Society For Blind People re Red Admiral"</f>
        <v>Henshaws Society For Blind People re Red Admiral</v>
      </c>
      <c r="J1884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1885" spans="1:10" x14ac:dyDescent="0.35">
      <c r="A1885" t="str">
        <f t="shared" si="324"/>
        <v>DEC</v>
      </c>
      <c r="B1885" t="str">
        <f t="shared" si="328"/>
        <v>20</v>
      </c>
      <c r="C1885" t="str">
        <f t="shared" si="329"/>
        <v>2020/21</v>
      </c>
      <c r="E1885" t="str">
        <f t="shared" si="330"/>
        <v/>
      </c>
      <c r="F1885" t="s">
        <v>25</v>
      </c>
      <c r="G1885" t="s">
        <v>22</v>
      </c>
      <c r="H1885">
        <v>-1269</v>
      </c>
      <c r="I1885" t="str">
        <f>"The Mayfield Trust"</f>
        <v>The Mayfield Trust</v>
      </c>
      <c r="J1885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1886" spans="1:10" x14ac:dyDescent="0.35">
      <c r="A1886" t="str">
        <f t="shared" si="324"/>
        <v>DEC</v>
      </c>
      <c r="B1886" t="str">
        <f t="shared" si="328"/>
        <v>20</v>
      </c>
      <c r="C1886" t="str">
        <f t="shared" si="329"/>
        <v>2020/21</v>
      </c>
      <c r="E1886" t="str">
        <f t="shared" si="330"/>
        <v/>
      </c>
      <c r="F1886" t="s">
        <v>25</v>
      </c>
      <c r="G1886" t="s">
        <v>22</v>
      </c>
      <c r="H1886">
        <v>-423</v>
      </c>
      <c r="I1886" t="str">
        <f>"Bridgewood Trust Ltd"</f>
        <v>Bridgewood Trust Ltd</v>
      </c>
      <c r="J1886" t="str">
        <f t="shared" ref="J1886:J1892" si="332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1887" spans="1:10" x14ac:dyDescent="0.35">
      <c r="A1887" t="str">
        <f t="shared" ref="A1887:A1906" si="333">"DEC"</f>
        <v>DEC</v>
      </c>
      <c r="B1887" t="str">
        <f t="shared" si="328"/>
        <v>20</v>
      </c>
      <c r="C1887" t="str">
        <f t="shared" si="329"/>
        <v>2020/21</v>
      </c>
      <c r="E1887" t="str">
        <f t="shared" si="330"/>
        <v/>
      </c>
      <c r="F1887" t="s">
        <v>25</v>
      </c>
      <c r="G1887" t="s">
        <v>22</v>
      </c>
      <c r="H1887">
        <v>-1692</v>
      </c>
      <c r="I1887" t="str">
        <f>"Bridgewood Trust Ltd"</f>
        <v>Bridgewood Trust Ltd</v>
      </c>
      <c r="J1887" t="str">
        <f t="shared" si="332"/>
        <v>Residential - Income Residential Placements Customer And Client Receipts Income Residential &amp; Nursing Placements (Learning Dis) Adult Health &amp; S</v>
      </c>
    </row>
    <row r="1888" spans="1:10" x14ac:dyDescent="0.35">
      <c r="A1888" t="str">
        <f t="shared" si="333"/>
        <v>DEC</v>
      </c>
      <c r="B1888" t="str">
        <f t="shared" si="328"/>
        <v>20</v>
      </c>
      <c r="C1888" t="str">
        <f t="shared" si="329"/>
        <v>2020/21</v>
      </c>
      <c r="E1888" t="str">
        <f t="shared" si="330"/>
        <v/>
      </c>
      <c r="F1888" t="s">
        <v>25</v>
      </c>
      <c r="G1888" t="s">
        <v>22</v>
      </c>
      <c r="H1888">
        <v>-595.4</v>
      </c>
      <c r="I1888" t="str">
        <f>"Bridgewood Trust Ltd"</f>
        <v>Bridgewood Trust Ltd</v>
      </c>
      <c r="J1888" t="str">
        <f t="shared" si="332"/>
        <v>Residential - Income Residential Placements Customer And Client Receipts Income Residential &amp; Nursing Placements (Learning Dis) Adult Health &amp; S</v>
      </c>
    </row>
    <row r="1889" spans="1:10" x14ac:dyDescent="0.35">
      <c r="A1889" t="str">
        <f t="shared" si="333"/>
        <v>DEC</v>
      </c>
      <c r="B1889" t="str">
        <f t="shared" si="328"/>
        <v>20</v>
      </c>
      <c r="C1889" t="str">
        <f t="shared" si="329"/>
        <v>2020/21</v>
      </c>
      <c r="E1889" t="str">
        <f t="shared" si="330"/>
        <v/>
      </c>
      <c r="F1889" t="s">
        <v>25</v>
      </c>
      <c r="G1889" t="s">
        <v>22</v>
      </c>
      <c r="H1889">
        <v>-423</v>
      </c>
      <c r="I1889" t="str">
        <f>"Bridgewood Trust Ltd"</f>
        <v>Bridgewood Trust Ltd</v>
      </c>
      <c r="J1889" t="str">
        <f t="shared" si="332"/>
        <v>Residential - Income Residential Placements Customer And Client Receipts Income Residential &amp; Nursing Placements (Learning Dis) Adult Health &amp; S</v>
      </c>
    </row>
    <row r="1890" spans="1:10" x14ac:dyDescent="0.35">
      <c r="A1890" t="str">
        <f t="shared" si="333"/>
        <v>DEC</v>
      </c>
      <c r="B1890" t="str">
        <f t="shared" si="328"/>
        <v>20</v>
      </c>
      <c r="C1890" t="str">
        <f t="shared" si="329"/>
        <v>2020/21</v>
      </c>
      <c r="E1890" t="str">
        <f t="shared" si="330"/>
        <v/>
      </c>
      <c r="F1890" t="s">
        <v>25</v>
      </c>
      <c r="G1890" t="s">
        <v>22</v>
      </c>
      <c r="H1890">
        <v>-4483.72</v>
      </c>
      <c r="I1890" t="str">
        <f>"Bridgewood Trust Ltd"</f>
        <v>Bridgewood Trust Ltd</v>
      </c>
      <c r="J1890" t="str">
        <f t="shared" si="332"/>
        <v>Residential - Income Residential Placements Customer And Client Receipts Income Residential &amp; Nursing Placements (Learning Dis) Adult Health &amp; S</v>
      </c>
    </row>
    <row r="1891" spans="1:10" x14ac:dyDescent="0.35">
      <c r="A1891" t="str">
        <f t="shared" si="333"/>
        <v>DEC</v>
      </c>
      <c r="B1891" t="str">
        <f t="shared" si="328"/>
        <v>20</v>
      </c>
      <c r="C1891" t="str">
        <f t="shared" si="329"/>
        <v>2020/21</v>
      </c>
      <c r="E1891" t="str">
        <f t="shared" si="330"/>
        <v/>
      </c>
      <c r="F1891" t="s">
        <v>25</v>
      </c>
      <c r="G1891" t="s">
        <v>22</v>
      </c>
      <c r="H1891">
        <v>-459</v>
      </c>
      <c r="I1891" t="str">
        <f>"The Mayfield Trust"</f>
        <v>The Mayfield Trust</v>
      </c>
      <c r="J1891" t="str">
        <f t="shared" si="332"/>
        <v>Residential - Income Residential Placements Customer And Client Receipts Income Residential &amp; Nursing Placements (Learning Dis) Adult Health &amp; S</v>
      </c>
    </row>
    <row r="1892" spans="1:10" x14ac:dyDescent="0.35">
      <c r="A1892" t="str">
        <f t="shared" si="333"/>
        <v>DEC</v>
      </c>
      <c r="B1892" t="str">
        <f t="shared" si="328"/>
        <v>20</v>
      </c>
      <c r="C1892" t="str">
        <f t="shared" si="329"/>
        <v>2020/21</v>
      </c>
      <c r="E1892" t="str">
        <f t="shared" si="330"/>
        <v/>
      </c>
      <c r="F1892" t="s">
        <v>25</v>
      </c>
      <c r="G1892" t="s">
        <v>22</v>
      </c>
      <c r="H1892">
        <v>-423</v>
      </c>
      <c r="I1892" t="str">
        <f>"Henshaws Society For Blind People re Red Admiral"</f>
        <v>Henshaws Society For Blind People re Red Admiral</v>
      </c>
      <c r="J1892" t="str">
        <f t="shared" si="332"/>
        <v>Residential - Income Residential Placements Customer And Client Receipts Income Residential &amp; Nursing Placements (Learning Dis) Adult Health &amp; S</v>
      </c>
    </row>
    <row r="1893" spans="1:10" x14ac:dyDescent="0.35">
      <c r="A1893" t="str">
        <f t="shared" si="333"/>
        <v>DEC</v>
      </c>
      <c r="B1893" t="str">
        <f t="shared" si="328"/>
        <v>20</v>
      </c>
      <c r="C1893" t="str">
        <f t="shared" si="329"/>
        <v>2020/21</v>
      </c>
      <c r="D1893" t="str">
        <f t="shared" ref="D1893:D1899" si="334">"SS SL 114855"</f>
        <v>SS SL 114855</v>
      </c>
      <c r="E1893" t="str">
        <f t="shared" si="330"/>
        <v>SS</v>
      </c>
      <c r="F1893" t="s">
        <v>25</v>
      </c>
      <c r="G1893" t="s">
        <v>22</v>
      </c>
      <c r="H1893">
        <v>400</v>
      </c>
      <c r="I1893" t="str">
        <f t="shared" ref="I1893:I1899" si="335">"The Mayfield Trust"</f>
        <v>The Mayfield Trust</v>
      </c>
      <c r="J1893" t="str">
        <f t="shared" ref="J1893:J1899" si="336"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1894" spans="1:10" x14ac:dyDescent="0.35">
      <c r="A1894" t="str">
        <f t="shared" si="333"/>
        <v>DEC</v>
      </c>
      <c r="B1894" t="str">
        <f t="shared" si="328"/>
        <v>20</v>
      </c>
      <c r="C1894" t="str">
        <f t="shared" si="329"/>
        <v>2020/21</v>
      </c>
      <c r="D1894" t="str">
        <f t="shared" si="334"/>
        <v>SS SL 114855</v>
      </c>
      <c r="E1894" t="str">
        <f t="shared" si="330"/>
        <v>SS</v>
      </c>
      <c r="F1894" t="s">
        <v>25</v>
      </c>
      <c r="G1894" t="s">
        <v>22</v>
      </c>
      <c r="H1894">
        <v>2573.42</v>
      </c>
      <c r="I1894" t="str">
        <f t="shared" si="335"/>
        <v>The Mayfield Trust</v>
      </c>
      <c r="J1894" t="str">
        <f t="shared" si="336"/>
        <v>Supported Accomodation Personal Support Privated Private Contractors Agency And Contracted Services Mental Health: Home Support Adult Health &amp; S</v>
      </c>
    </row>
    <row r="1895" spans="1:10" x14ac:dyDescent="0.35">
      <c r="A1895" t="str">
        <f t="shared" si="333"/>
        <v>DEC</v>
      </c>
      <c r="B1895" t="str">
        <f t="shared" si="328"/>
        <v>20</v>
      </c>
      <c r="C1895" t="str">
        <f t="shared" si="329"/>
        <v>2020/21</v>
      </c>
      <c r="D1895" t="str">
        <f t="shared" si="334"/>
        <v>SS SL 114855</v>
      </c>
      <c r="E1895" t="str">
        <f t="shared" si="330"/>
        <v>SS</v>
      </c>
      <c r="F1895" t="s">
        <v>25</v>
      </c>
      <c r="G1895" t="s">
        <v>22</v>
      </c>
      <c r="H1895">
        <v>800</v>
      </c>
      <c r="I1895" t="str">
        <f t="shared" si="335"/>
        <v>The Mayfield Trust</v>
      </c>
      <c r="J1895" t="str">
        <f t="shared" si="336"/>
        <v>Supported Accomodation Personal Support Privated Private Contractors Agency And Contracted Services Mental Health: Home Support Adult Health &amp; S</v>
      </c>
    </row>
    <row r="1896" spans="1:10" x14ac:dyDescent="0.35">
      <c r="A1896" t="str">
        <f t="shared" si="333"/>
        <v>DEC</v>
      </c>
      <c r="B1896" t="str">
        <f t="shared" si="328"/>
        <v>20</v>
      </c>
      <c r="C1896" t="str">
        <f t="shared" si="329"/>
        <v>2020/21</v>
      </c>
      <c r="D1896" t="str">
        <f t="shared" si="334"/>
        <v>SS SL 114855</v>
      </c>
      <c r="E1896" t="str">
        <f t="shared" si="330"/>
        <v>SS</v>
      </c>
      <c r="F1896" t="s">
        <v>25</v>
      </c>
      <c r="G1896" t="s">
        <v>22</v>
      </c>
      <c r="H1896">
        <v>2573.42</v>
      </c>
      <c r="I1896" t="str">
        <f t="shared" si="335"/>
        <v>The Mayfield Trust</v>
      </c>
      <c r="J1896" t="str">
        <f t="shared" si="336"/>
        <v>Supported Accomodation Personal Support Privated Private Contractors Agency And Contracted Services Mental Health: Home Support Adult Health &amp; S</v>
      </c>
    </row>
    <row r="1897" spans="1:10" x14ac:dyDescent="0.35">
      <c r="A1897" t="str">
        <f t="shared" si="333"/>
        <v>DEC</v>
      </c>
      <c r="B1897" t="str">
        <f t="shared" si="328"/>
        <v>20</v>
      </c>
      <c r="C1897" t="str">
        <f t="shared" si="329"/>
        <v>2020/21</v>
      </c>
      <c r="D1897" t="str">
        <f t="shared" si="334"/>
        <v>SS SL 114855</v>
      </c>
      <c r="E1897" t="str">
        <f t="shared" si="330"/>
        <v>SS</v>
      </c>
      <c r="F1897" t="s">
        <v>25</v>
      </c>
      <c r="G1897" t="s">
        <v>22</v>
      </c>
      <c r="H1897">
        <v>2639.4</v>
      </c>
      <c r="I1897" t="str">
        <f t="shared" si="335"/>
        <v>The Mayfield Trust</v>
      </c>
      <c r="J1897" t="str">
        <f t="shared" si="336"/>
        <v>Supported Accomodation Personal Support Privated Private Contractors Agency And Contracted Services Mental Health: Home Support Adult Health &amp; S</v>
      </c>
    </row>
    <row r="1898" spans="1:10" x14ac:dyDescent="0.35">
      <c r="A1898" t="str">
        <f t="shared" si="333"/>
        <v>DEC</v>
      </c>
      <c r="B1898" t="str">
        <f t="shared" si="328"/>
        <v>20</v>
      </c>
      <c r="C1898" t="str">
        <f t="shared" si="329"/>
        <v>2020/21</v>
      </c>
      <c r="D1898" t="str">
        <f t="shared" si="334"/>
        <v>SS SL 114855</v>
      </c>
      <c r="E1898" t="str">
        <f t="shared" si="330"/>
        <v>SS</v>
      </c>
      <c r="F1898" t="s">
        <v>25</v>
      </c>
      <c r="G1898" t="s">
        <v>22</v>
      </c>
      <c r="H1898">
        <v>5710.5</v>
      </c>
      <c r="I1898" t="str">
        <f t="shared" si="335"/>
        <v>The Mayfield Trust</v>
      </c>
      <c r="J1898" t="str">
        <f t="shared" si="336"/>
        <v>Supported Accomodation Personal Support Privated Private Contractors Agency And Contracted Services Mental Health: Home Support Adult Health &amp; S</v>
      </c>
    </row>
    <row r="1899" spans="1:10" x14ac:dyDescent="0.35">
      <c r="A1899" t="str">
        <f t="shared" si="333"/>
        <v>DEC</v>
      </c>
      <c r="B1899" t="str">
        <f t="shared" si="328"/>
        <v>20</v>
      </c>
      <c r="C1899" t="str">
        <f t="shared" si="329"/>
        <v>2020/21</v>
      </c>
      <c r="D1899" t="str">
        <f t="shared" si="334"/>
        <v>SS SL 114855</v>
      </c>
      <c r="E1899" t="str">
        <f t="shared" si="330"/>
        <v>SS</v>
      </c>
      <c r="F1899" t="s">
        <v>25</v>
      </c>
      <c r="G1899" t="s">
        <v>22</v>
      </c>
      <c r="H1899">
        <v>800</v>
      </c>
      <c r="I1899" t="str">
        <f t="shared" si="335"/>
        <v>The Mayfield Trust</v>
      </c>
      <c r="J1899" t="str">
        <f t="shared" si="336"/>
        <v>Supported Accomodation Personal Support Privated Private Contractors Agency And Contracted Services Mental Health: Home Support Adult Health &amp; S</v>
      </c>
    </row>
    <row r="1900" spans="1:10" x14ac:dyDescent="0.35">
      <c r="A1900" t="str">
        <f t="shared" si="333"/>
        <v>DEC</v>
      </c>
      <c r="B1900" t="str">
        <f t="shared" si="328"/>
        <v>20</v>
      </c>
      <c r="C1900" t="str">
        <f t="shared" si="329"/>
        <v>2020/21</v>
      </c>
      <c r="D1900" t="str">
        <f>"SS CO 113850"</f>
        <v>SS CO 113850</v>
      </c>
      <c r="E1900" t="str">
        <f t="shared" si="330"/>
        <v>SS</v>
      </c>
      <c r="F1900" t="s">
        <v>25</v>
      </c>
      <c r="G1900" t="s">
        <v>22</v>
      </c>
      <c r="H1900">
        <v>18016.669999999998</v>
      </c>
      <c r="I1900" t="str">
        <f>"Cloverleaf Advocacy 2000 Ltd"</f>
        <v>Cloverleaf Advocacy 2000 Ltd</v>
      </c>
      <c r="J1900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1901" spans="1:10" x14ac:dyDescent="0.35">
      <c r="A1901" t="str">
        <f t="shared" si="333"/>
        <v>DEC</v>
      </c>
      <c r="B1901" t="str">
        <f t="shared" si="328"/>
        <v>20</v>
      </c>
      <c r="C1901" t="str">
        <f t="shared" si="329"/>
        <v>2020/21</v>
      </c>
      <c r="D1901" t="str">
        <f>"SS CO 113368"</f>
        <v>SS CO 113368</v>
      </c>
      <c r="E1901" t="str">
        <f t="shared" si="330"/>
        <v>SS</v>
      </c>
      <c r="F1901" t="s">
        <v>25</v>
      </c>
      <c r="G1901" t="s">
        <v>22</v>
      </c>
      <c r="H1901">
        <v>1642.74</v>
      </c>
      <c r="I1901" t="str">
        <f>"Anchor Trust"</f>
        <v>Anchor Trust</v>
      </c>
      <c r="J1901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902" spans="1:10" x14ac:dyDescent="0.35">
      <c r="A1902" t="str">
        <f t="shared" si="333"/>
        <v>DEC</v>
      </c>
      <c r="B1902" t="str">
        <f t="shared" si="328"/>
        <v>20</v>
      </c>
      <c r="C1902" t="str">
        <f t="shared" si="329"/>
        <v>2020/21</v>
      </c>
      <c r="D1902" t="str">
        <f>"SS CO 113368"</f>
        <v>SS CO 113368</v>
      </c>
      <c r="E1902" t="str">
        <f t="shared" si="330"/>
        <v>SS</v>
      </c>
      <c r="F1902" t="s">
        <v>25</v>
      </c>
      <c r="G1902" t="s">
        <v>22</v>
      </c>
      <c r="H1902">
        <v>8213.7000000000007</v>
      </c>
      <c r="I1902" t="str">
        <f>"Anchor Trust"</f>
        <v>Anchor Trust</v>
      </c>
      <c r="J1902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903" spans="1:10" x14ac:dyDescent="0.35">
      <c r="A1903" t="str">
        <f t="shared" si="333"/>
        <v>DEC</v>
      </c>
      <c r="B1903" t="str">
        <f t="shared" si="328"/>
        <v>20</v>
      </c>
      <c r="C1903" t="str">
        <f t="shared" si="329"/>
        <v>2020/21</v>
      </c>
      <c r="D1903" t="str">
        <f>"SS CO 113368"</f>
        <v>SS CO 113368</v>
      </c>
      <c r="E1903" t="str">
        <f t="shared" si="330"/>
        <v>SS</v>
      </c>
      <c r="F1903" t="s">
        <v>25</v>
      </c>
      <c r="G1903" t="s">
        <v>22</v>
      </c>
      <c r="H1903">
        <v>-490.79</v>
      </c>
      <c r="I1903" t="str">
        <f>"Anchor Trust"</f>
        <v>Anchor Trust</v>
      </c>
      <c r="J1903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1904" spans="1:10" x14ac:dyDescent="0.35">
      <c r="A1904" t="str">
        <f t="shared" si="333"/>
        <v>DEC</v>
      </c>
      <c r="B1904" t="str">
        <f t="shared" si="328"/>
        <v>20</v>
      </c>
      <c r="C1904" t="str">
        <f t="shared" si="329"/>
        <v>2020/21</v>
      </c>
      <c r="D1904" t="str">
        <f>"SS CO 113367"</f>
        <v>SS CO 113367</v>
      </c>
      <c r="E1904" t="str">
        <f t="shared" si="330"/>
        <v>SS</v>
      </c>
      <c r="F1904" t="s">
        <v>25</v>
      </c>
      <c r="G1904" t="s">
        <v>22</v>
      </c>
      <c r="H1904">
        <v>5708.2</v>
      </c>
      <c r="I1904" t="str">
        <f>"Cloverleaf Advocacy 2000 Ltd"</f>
        <v>Cloverleaf Advocacy 2000 Ltd</v>
      </c>
      <c r="J1904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1905" spans="1:10" x14ac:dyDescent="0.35">
      <c r="A1905" t="str">
        <f t="shared" si="333"/>
        <v>DEC</v>
      </c>
      <c r="B1905" t="str">
        <f t="shared" si="328"/>
        <v>20</v>
      </c>
      <c r="C1905" t="str">
        <f t="shared" si="329"/>
        <v>2020/21</v>
      </c>
      <c r="D1905" t="str">
        <f>"SS CO 112761"</f>
        <v>SS CO 112761</v>
      </c>
      <c r="E1905" t="str">
        <f t="shared" si="330"/>
        <v>SS</v>
      </c>
      <c r="F1905" t="s">
        <v>25</v>
      </c>
      <c r="G1905" t="s">
        <v>22</v>
      </c>
      <c r="H1905">
        <v>7402.25</v>
      </c>
      <c r="I1905" t="str">
        <f>"The Stroke Association"</f>
        <v>The Stroke Association</v>
      </c>
      <c r="J1905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1906" spans="1:10" x14ac:dyDescent="0.35">
      <c r="A1906" t="str">
        <f t="shared" si="333"/>
        <v>DEC</v>
      </c>
      <c r="B1906" t="str">
        <f t="shared" si="328"/>
        <v>20</v>
      </c>
      <c r="C1906" t="str">
        <f t="shared" si="329"/>
        <v>2020/21</v>
      </c>
      <c r="D1906" t="str">
        <f>"SS CO 112761"</f>
        <v>SS CO 112761</v>
      </c>
      <c r="E1906" t="str">
        <f t="shared" si="330"/>
        <v>SS</v>
      </c>
      <c r="F1906" t="s">
        <v>25</v>
      </c>
      <c r="G1906" t="s">
        <v>22</v>
      </c>
      <c r="H1906">
        <v>7402.25</v>
      </c>
      <c r="I1906" t="str">
        <f>"The Stroke Association"</f>
        <v>The Stroke Association</v>
      </c>
      <c r="J1906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1907" spans="1:10" x14ac:dyDescent="0.35">
      <c r="A1907" t="str">
        <f t="shared" ref="A1907:A1970" si="337">"JAN"</f>
        <v>JAN</v>
      </c>
      <c r="B1907" t="str">
        <f t="shared" ref="B1907:B1970" si="338">"21"</f>
        <v>21</v>
      </c>
      <c r="C1907" t="str">
        <f t="shared" si="329"/>
        <v>2020/21</v>
      </c>
      <c r="D1907" t="str">
        <f>"LS NE 206511"</f>
        <v>LS NE 206511</v>
      </c>
      <c r="E1907" t="str">
        <f t="shared" si="330"/>
        <v>LS</v>
      </c>
      <c r="F1907" t="s">
        <v>13</v>
      </c>
      <c r="G1907" t="s">
        <v>14</v>
      </c>
      <c r="H1907">
        <v>37877.5</v>
      </c>
      <c r="I1907" t="str">
        <f>"North Halifax Partnership Ltd"</f>
        <v>North Halifax Partnership Ltd</v>
      </c>
      <c r="J1907" t="str">
        <f>"North Halifax Partnership Grants And Subscriptions Supplies And Services Neighbourhood Working Community Safety &amp; Support"</f>
        <v>North Halifax Partnership Grants And Subscriptions Supplies And Services Neighbourhood Working Community Safety &amp; Support</v>
      </c>
    </row>
    <row r="1908" spans="1:10" x14ac:dyDescent="0.35">
      <c r="A1908" t="str">
        <f t="shared" si="337"/>
        <v>JAN</v>
      </c>
      <c r="B1908" t="str">
        <f t="shared" si="338"/>
        <v>21</v>
      </c>
      <c r="C1908" t="str">
        <f t="shared" si="329"/>
        <v>2020/21</v>
      </c>
      <c r="D1908" t="str">
        <f>"LS CS 206460"</f>
        <v>LS CS 206460</v>
      </c>
      <c r="E1908" t="str">
        <f t="shared" si="330"/>
        <v>LS</v>
      </c>
      <c r="F1908" t="s">
        <v>13</v>
      </c>
      <c r="G1908" t="s">
        <v>14</v>
      </c>
      <c r="H1908">
        <v>2043.75</v>
      </c>
      <c r="I1908" t="str">
        <f>"Himmat Limited"</f>
        <v>Himmat Limited</v>
      </c>
      <c r="J1908" t="str">
        <f>"Violence Reduction Unit (VRU) Grants And Subscriptions Supplies And Services Community Safety Partnership Community Safety &amp; Support"</f>
        <v>Violence Reduction Unit (VRU) Grants And Subscriptions Supplies And Services Community Safety Partnership Community Safety &amp; Support</v>
      </c>
    </row>
    <row r="1909" spans="1:10" x14ac:dyDescent="0.35">
      <c r="A1909" t="str">
        <f t="shared" si="337"/>
        <v>JAN</v>
      </c>
      <c r="B1909" t="str">
        <f t="shared" si="338"/>
        <v>21</v>
      </c>
      <c r="C1909" t="str">
        <f t="shared" si="329"/>
        <v>2020/21</v>
      </c>
      <c r="D1909" t="str">
        <f>"LS AD 206621"</f>
        <v>LS AD 206621</v>
      </c>
      <c r="E1909" t="str">
        <f t="shared" si="330"/>
        <v>LS</v>
      </c>
      <c r="F1909" t="s">
        <v>41</v>
      </c>
      <c r="G1909" t="s">
        <v>14</v>
      </c>
      <c r="H1909">
        <v>3220</v>
      </c>
      <c r="I1909" t="str">
        <f>"APSE"</f>
        <v>APSE</v>
      </c>
      <c r="J1909" t="str">
        <f>"Subscriptions - General Grants And Subscriptions Supplies And Services Group Director &amp; PA Support Costs Recreation &amp; Support"</f>
        <v>Subscriptions - General Grants And Subscriptions Supplies And Services Group Director &amp; PA Support Costs Recreation &amp; Support</v>
      </c>
    </row>
    <row r="1910" spans="1:10" x14ac:dyDescent="0.35">
      <c r="A1910" t="str">
        <f t="shared" si="337"/>
        <v>JAN</v>
      </c>
      <c r="B1910" t="str">
        <f t="shared" si="338"/>
        <v>21</v>
      </c>
      <c r="C1910" t="str">
        <f t="shared" si="329"/>
        <v>2020/21</v>
      </c>
      <c r="D1910" t="str">
        <f>"LS AD 206621"</f>
        <v>LS AD 206621</v>
      </c>
      <c r="E1910" t="str">
        <f t="shared" si="330"/>
        <v>LS</v>
      </c>
      <c r="F1910" t="s">
        <v>41</v>
      </c>
      <c r="G1910" t="s">
        <v>14</v>
      </c>
      <c r="H1910">
        <v>300</v>
      </c>
      <c r="I1910" t="str">
        <f>"APSE"</f>
        <v>APSE</v>
      </c>
      <c r="J1910" t="str">
        <f>"Subscriptions - General Grants And Subscriptions Supplies And Services Group Director &amp; PA Support Costs Recreation &amp; Support"</f>
        <v>Subscriptions - General Grants And Subscriptions Supplies And Services Group Director &amp; PA Support Costs Recreation &amp; Support</v>
      </c>
    </row>
    <row r="1911" spans="1:10" x14ac:dyDescent="0.35">
      <c r="A1911" t="str">
        <f t="shared" si="337"/>
        <v>JAN</v>
      </c>
      <c r="B1911" t="str">
        <f t="shared" si="338"/>
        <v>21</v>
      </c>
      <c r="C1911" t="str">
        <f t="shared" si="329"/>
        <v>2020/21</v>
      </c>
      <c r="D1911" t="str">
        <f>"LS CL 206632"</f>
        <v>LS CL 206632</v>
      </c>
      <c r="E1911" t="str">
        <f t="shared" si="330"/>
        <v>LS</v>
      </c>
      <c r="F1911" t="s">
        <v>15</v>
      </c>
      <c r="G1911" t="s">
        <v>14</v>
      </c>
      <c r="H1911">
        <v>34</v>
      </c>
      <c r="I1911" t="str">
        <f>"Yorkshire Archaeological Society"</f>
        <v>Yorkshire Archaeological Society</v>
      </c>
      <c r="J1911" t="str">
        <f>"Newspapers/Periodicals Equipment Furniture &amp; Materials Cont Equipment Furniture And Materials (Cont) Supplies And Services Information Services"</f>
        <v>Newspapers/Periodicals Equipment Furniture &amp; Materials Cont Equipment Furniture And Materials (Cont) Supplies And Services Information Services</v>
      </c>
    </row>
    <row r="1912" spans="1:10" x14ac:dyDescent="0.35">
      <c r="A1912" t="str">
        <f t="shared" si="337"/>
        <v>JAN</v>
      </c>
      <c r="B1912" t="str">
        <f t="shared" si="338"/>
        <v>21</v>
      </c>
      <c r="C1912" t="str">
        <f t="shared" si="329"/>
        <v>2020/21</v>
      </c>
      <c r="D1912" t="str">
        <f>"LS GV 206507"</f>
        <v>LS GV 206507</v>
      </c>
      <c r="E1912" t="str">
        <f t="shared" si="330"/>
        <v>LS</v>
      </c>
      <c r="F1912" t="s">
        <v>17</v>
      </c>
      <c r="G1912" t="s">
        <v>18</v>
      </c>
      <c r="H1912">
        <v>73750</v>
      </c>
      <c r="I1912" t="str">
        <f>"Calderdale Citizens Advice Bureau"</f>
        <v>Calderdale Citizens Advice Bureau</v>
      </c>
      <c r="J1912" t="str">
        <f>"A&amp;I Contract - Calderdale Citizens Advice Bureau Grants And Subscriptions Supplies And Services Policy and Voluntary Sector Economy and Investme"</f>
        <v>A&amp;I Contract - Calderdale Citizens Advice Bureau Grants And Subscriptions Supplies And Services Policy and Voluntary Sector Economy and Investme</v>
      </c>
    </row>
    <row r="1913" spans="1:10" x14ac:dyDescent="0.35">
      <c r="A1913" t="str">
        <f t="shared" si="337"/>
        <v>JAN</v>
      </c>
      <c r="B1913" t="str">
        <f t="shared" si="338"/>
        <v>21</v>
      </c>
      <c r="C1913" t="str">
        <f t="shared" si="329"/>
        <v>2020/21</v>
      </c>
      <c r="D1913" t="str">
        <f>"LS GV 206505"</f>
        <v>LS GV 206505</v>
      </c>
      <c r="E1913" t="str">
        <f t="shared" si="330"/>
        <v>LS</v>
      </c>
      <c r="F1913" t="s">
        <v>17</v>
      </c>
      <c r="G1913" t="s">
        <v>18</v>
      </c>
      <c r="H1913">
        <v>3515</v>
      </c>
      <c r="I1913" t="str">
        <f>"Calderdale Citizens Advice Bureau"</f>
        <v>Calderdale Citizens Advice Bureau</v>
      </c>
      <c r="J1913" t="str">
        <f>"A&amp;I Grant - Calderdale Citizens Advice Bureau Grants And Subscriptions Supplies And Services Policy and Voluntary Sector Economy and Investment"</f>
        <v>A&amp;I Grant - Calderdale Citizens Advice Bureau Grants And Subscriptions Supplies And Services Policy and Voluntary Sector Economy and Investment</v>
      </c>
    </row>
    <row r="1914" spans="1:10" x14ac:dyDescent="0.35">
      <c r="A1914" t="str">
        <f t="shared" si="337"/>
        <v>JAN</v>
      </c>
      <c r="B1914" t="str">
        <f t="shared" si="338"/>
        <v>21</v>
      </c>
      <c r="C1914" t="str">
        <f t="shared" si="329"/>
        <v>2020/21</v>
      </c>
      <c r="D1914" t="str">
        <f>"LS GV 205009"</f>
        <v>LS GV 205009</v>
      </c>
      <c r="E1914" t="str">
        <f t="shared" si="330"/>
        <v>LS</v>
      </c>
      <c r="F1914" t="s">
        <v>17</v>
      </c>
      <c r="G1914" t="s">
        <v>18</v>
      </c>
      <c r="H1914">
        <v>31250</v>
      </c>
      <c r="I1914" t="str">
        <f>"North Bank Forum for Voluntary Organisations Ltd"</f>
        <v>North Bank Forum for Voluntary Organisations Ltd</v>
      </c>
      <c r="J1914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915" spans="1:10" x14ac:dyDescent="0.35">
      <c r="A1915" t="str">
        <f t="shared" si="337"/>
        <v>JAN</v>
      </c>
      <c r="B1915" t="str">
        <f t="shared" si="338"/>
        <v>21</v>
      </c>
      <c r="C1915" t="str">
        <f t="shared" si="329"/>
        <v>2020/21</v>
      </c>
      <c r="D1915" t="str">
        <f>"LS GV 205017"</f>
        <v>LS GV 205017</v>
      </c>
      <c r="E1915" t="str">
        <f t="shared" si="330"/>
        <v>LS</v>
      </c>
      <c r="F1915" t="s">
        <v>17</v>
      </c>
      <c r="G1915" t="s">
        <v>18</v>
      </c>
      <c r="H1915">
        <v>3750</v>
      </c>
      <c r="I1915" t="str">
        <f>"West Yorkshire Community Accounting Service"</f>
        <v>West Yorkshire Community Accounting Service</v>
      </c>
      <c r="J1915" t="str">
        <f>"VSI Alliance Grants And Subscriptions Supplies And Services Policy and Voluntary Sector Economy and Investment"</f>
        <v>VSI Alliance Grants And Subscriptions Supplies And Services Policy and Voluntary Sector Economy and Investment</v>
      </c>
    </row>
    <row r="1916" spans="1:10" x14ac:dyDescent="0.35">
      <c r="A1916" t="str">
        <f t="shared" si="337"/>
        <v>JAN</v>
      </c>
      <c r="B1916" t="str">
        <f t="shared" si="338"/>
        <v>21</v>
      </c>
      <c r="C1916" t="str">
        <f t="shared" si="329"/>
        <v>2020/21</v>
      </c>
      <c r="D1916" t="str">
        <f>"LS GV 206506"</f>
        <v>LS GV 206506</v>
      </c>
      <c r="E1916" t="str">
        <f t="shared" si="330"/>
        <v>LS</v>
      </c>
      <c r="F1916" t="s">
        <v>17</v>
      </c>
      <c r="G1916" t="s">
        <v>18</v>
      </c>
      <c r="H1916">
        <v>6069.5</v>
      </c>
      <c r="I1916" t="str">
        <f>"Disability Advice Resource Team (DART)"</f>
        <v>Disability Advice Resource Team (DART)</v>
      </c>
      <c r="J1916" t="str">
        <f>"A&amp;I Grant - D.A.R.T Grants And Subscriptions Supplies And Services Policy and Voluntary Sector Economy and Investment"</f>
        <v>A&amp;I Grant - D.A.R.T Grants And Subscriptions Supplies And Services Policy and Voluntary Sector Economy and Investment</v>
      </c>
    </row>
    <row r="1917" spans="1:10" x14ac:dyDescent="0.35">
      <c r="A1917" t="str">
        <f t="shared" si="337"/>
        <v>JAN</v>
      </c>
      <c r="B1917" t="str">
        <f t="shared" si="338"/>
        <v>21</v>
      </c>
      <c r="C1917" t="str">
        <f t="shared" si="329"/>
        <v>2020/21</v>
      </c>
      <c r="D1917" t="str">
        <f>"LS GV 206526"</f>
        <v>LS GV 206526</v>
      </c>
      <c r="E1917" t="str">
        <f t="shared" si="330"/>
        <v>LS</v>
      </c>
      <c r="F1917" t="s">
        <v>17</v>
      </c>
      <c r="G1917" t="s">
        <v>18</v>
      </c>
      <c r="H1917">
        <v>9165.5</v>
      </c>
      <c r="I1917" t="str">
        <f>"Healthy Minds Calderdale Wellbeing"</f>
        <v>Healthy Minds Calderdale Wellbeing</v>
      </c>
      <c r="J1917" t="str">
        <f>"A&amp;I Grant - Healthy Minds Grants And Subscriptions Supplies And Services Policy and Voluntary Sector Economy and Investment"</f>
        <v>A&amp;I Grant - Healthy Minds Grants And Subscriptions Supplies And Services Policy and Voluntary Sector Economy and Investment</v>
      </c>
    </row>
    <row r="1918" spans="1:10" x14ac:dyDescent="0.35">
      <c r="A1918" t="str">
        <f t="shared" si="337"/>
        <v>JAN</v>
      </c>
      <c r="B1918" t="str">
        <f t="shared" si="338"/>
        <v>21</v>
      </c>
      <c r="C1918" t="str">
        <f t="shared" si="329"/>
        <v>2020/21</v>
      </c>
      <c r="D1918" t="str">
        <f>"LS GV 206515"</f>
        <v>LS GV 206515</v>
      </c>
      <c r="E1918" t="str">
        <f t="shared" si="330"/>
        <v>LS</v>
      </c>
      <c r="F1918" t="s">
        <v>17</v>
      </c>
      <c r="G1918" t="s">
        <v>18</v>
      </c>
      <c r="H1918">
        <v>33125</v>
      </c>
      <c r="I1918" t="str">
        <f>"Healthwatch Kirklees"</f>
        <v>Healthwatch Kirklees</v>
      </c>
      <c r="J1918" t="str">
        <f>"LHW - Local Healthwatch / ICAS Delivery Grants Grants And Subscriptions Supplies And Services Policy and Voluntary Sector Economy and Investment"</f>
        <v>LHW - Local Healthwatch / ICAS Delivery Grants Grants And Subscriptions Supplies And Services Policy and Voluntary Sector Economy and Investment</v>
      </c>
    </row>
    <row r="1919" spans="1:10" x14ac:dyDescent="0.35">
      <c r="A1919" t="str">
        <f t="shared" si="337"/>
        <v>JAN</v>
      </c>
      <c r="B1919" t="str">
        <f t="shared" si="338"/>
        <v>21</v>
      </c>
      <c r="C1919" t="str">
        <f t="shared" si="329"/>
        <v>2020/21</v>
      </c>
      <c r="D1919" t="str">
        <f>"LS GV 206510"</f>
        <v>LS GV 206510</v>
      </c>
      <c r="E1919" t="str">
        <f t="shared" si="330"/>
        <v>LS</v>
      </c>
      <c r="F1919" t="s">
        <v>17</v>
      </c>
      <c r="G1919" t="s">
        <v>18</v>
      </c>
      <c r="H1919">
        <v>2000</v>
      </c>
      <c r="I1919" t="str">
        <f>"Hebden Bridge Arts Festival"</f>
        <v>Hebden Bridge Arts Festival</v>
      </c>
      <c r="J1919" t="str">
        <f>"CO - Hebden Bridge Arts Festival Grants And Subscriptions Supplies And Services Policy and Voluntary Sector Economy and Investment"</f>
        <v>CO - Hebden Bridge Arts Festival Grants And Subscriptions Supplies And Services Policy and Voluntary Sector Economy and Investment</v>
      </c>
    </row>
    <row r="1920" spans="1:10" x14ac:dyDescent="0.35">
      <c r="A1920" t="str">
        <f t="shared" si="337"/>
        <v>JAN</v>
      </c>
      <c r="B1920" t="str">
        <f t="shared" si="338"/>
        <v>21</v>
      </c>
      <c r="C1920" t="str">
        <f t="shared" si="329"/>
        <v>2020/21</v>
      </c>
      <c r="D1920" t="str">
        <f>"LS GV 206512"</f>
        <v>LS GV 206512</v>
      </c>
      <c r="E1920" t="str">
        <f t="shared" si="330"/>
        <v>LS</v>
      </c>
      <c r="F1920" t="s">
        <v>17</v>
      </c>
      <c r="G1920" t="s">
        <v>18</v>
      </c>
      <c r="H1920">
        <v>18247</v>
      </c>
      <c r="I1920" t="str">
        <f>"Halifax Opportunities Trust"</f>
        <v>Halifax Opportunities Trust</v>
      </c>
      <c r="J1920" t="str">
        <f>"Staying Well - Community Hubs Grants And Subscriptions Supplies And Services Policy and Voluntary Sector Economy and Investment"</f>
        <v>Staying Well - Community Hubs Grants And Subscriptions Supplies And Services Policy and Voluntary Sector Economy and Investment</v>
      </c>
    </row>
    <row r="1921" spans="1:10" x14ac:dyDescent="0.35">
      <c r="A1921" t="str">
        <f t="shared" si="337"/>
        <v>JAN</v>
      </c>
      <c r="B1921" t="str">
        <f t="shared" si="338"/>
        <v>21</v>
      </c>
      <c r="C1921" t="str">
        <f t="shared" si="329"/>
        <v>2020/21</v>
      </c>
      <c r="D1921" t="str">
        <f>"LS GV 206514"</f>
        <v>LS GV 206514</v>
      </c>
      <c r="E1921" t="str">
        <f t="shared" si="330"/>
        <v>LS</v>
      </c>
      <c r="F1921" t="s">
        <v>17</v>
      </c>
      <c r="G1921" t="s">
        <v>18</v>
      </c>
      <c r="H1921">
        <v>5625</v>
      </c>
      <c r="I1921" t="str">
        <f>"Hebden Bridge Community Association"</f>
        <v>Hebden Bridge Community Association</v>
      </c>
      <c r="J1921" t="str">
        <f>"Staying Well - Community Hubs Grants And Subscriptions Supplies And Services Policy and Voluntary Sector Economy and Investment"</f>
        <v>Staying Well - Community Hubs Grants And Subscriptions Supplies And Services Policy and Voluntary Sector Economy and Investment</v>
      </c>
    </row>
    <row r="1922" spans="1:10" x14ac:dyDescent="0.35">
      <c r="A1922" t="str">
        <f t="shared" si="337"/>
        <v>JAN</v>
      </c>
      <c r="B1922" t="str">
        <f t="shared" si="338"/>
        <v>21</v>
      </c>
      <c r="C1922" t="str">
        <f t="shared" ref="C1922:C1985" si="339">"2020/21"</f>
        <v>2020/21</v>
      </c>
      <c r="D1922" t="str">
        <f>"LS GV 206513"</f>
        <v>LS GV 206513</v>
      </c>
      <c r="E1922" t="str">
        <f t="shared" ref="E1922:E1985" si="340">LEFT(D1922,2)</f>
        <v>LS</v>
      </c>
      <c r="F1922" t="s">
        <v>17</v>
      </c>
      <c r="G1922" t="s">
        <v>18</v>
      </c>
      <c r="H1922">
        <v>13750</v>
      </c>
      <c r="I1922" t="str">
        <f>"North Halifax Partnership Ltd"</f>
        <v>North Halifax Partnership Ltd</v>
      </c>
      <c r="J1922" t="str">
        <f>"Staying Well - Community Hubs Grants And Subscriptions Supplies And Services Policy and Voluntary Sector Economy and Investment"</f>
        <v>Staying Well - Community Hubs Grants And Subscriptions Supplies And Services Policy and Voluntary Sector Economy and Investment</v>
      </c>
    </row>
    <row r="1923" spans="1:10" x14ac:dyDescent="0.35">
      <c r="A1923" t="str">
        <f t="shared" si="337"/>
        <v>JAN</v>
      </c>
      <c r="B1923" t="str">
        <f t="shared" si="338"/>
        <v>21</v>
      </c>
      <c r="C1923" t="str">
        <f t="shared" si="339"/>
        <v>2020/21</v>
      </c>
      <c r="D1923" t="str">
        <f>"LS GV 206508"</f>
        <v>LS GV 206508</v>
      </c>
      <c r="E1923" t="str">
        <f t="shared" si="340"/>
        <v>LS</v>
      </c>
      <c r="F1923" t="s">
        <v>17</v>
      </c>
      <c r="G1923" t="s">
        <v>18</v>
      </c>
      <c r="H1923">
        <v>3500</v>
      </c>
      <c r="I1923" t="str">
        <f>"Handmade Parade CIC"</f>
        <v>Handmade Parade CIC</v>
      </c>
      <c r="J1923" t="str">
        <f>"CO - Handmade Parade CIC Grants And Subscriptions Supplies And Services Policy and Voluntary Sector Economy and Investment"</f>
        <v>CO - Handmade Parade CIC Grants And Subscriptions Supplies And Services Policy and Voluntary Sector Economy and Investment</v>
      </c>
    </row>
    <row r="1924" spans="1:10" x14ac:dyDescent="0.35">
      <c r="A1924" t="str">
        <f t="shared" si="337"/>
        <v>JAN</v>
      </c>
      <c r="B1924" t="str">
        <f t="shared" si="338"/>
        <v>21</v>
      </c>
      <c r="C1924" t="str">
        <f t="shared" si="339"/>
        <v>2020/21</v>
      </c>
      <c r="D1924" t="str">
        <f>"LS GV 206503"</f>
        <v>LS GV 206503</v>
      </c>
      <c r="E1924" t="str">
        <f t="shared" si="340"/>
        <v>LS</v>
      </c>
      <c r="F1924" t="s">
        <v>17</v>
      </c>
      <c r="G1924" t="s">
        <v>18</v>
      </c>
      <c r="H1924">
        <v>5408.75</v>
      </c>
      <c r="I1924" t="str">
        <f>"Healthy Minds Calderdale Wellbeing"</f>
        <v>Healthy Minds Calderdale Wellbeing</v>
      </c>
      <c r="J1924" t="str">
        <f>"LF - Healthy Minds Grants And Subscriptions Supplies And Services Policy and Voluntary Sector Economy and Investment"</f>
        <v>LF - Healthy Minds Grants And Subscriptions Supplies And Services Policy and Voluntary Sector Economy and Investment</v>
      </c>
    </row>
    <row r="1925" spans="1:10" x14ac:dyDescent="0.35">
      <c r="A1925" t="str">
        <f t="shared" si="337"/>
        <v>JAN</v>
      </c>
      <c r="B1925" t="str">
        <f t="shared" si="338"/>
        <v>21</v>
      </c>
      <c r="C1925" t="str">
        <f t="shared" si="339"/>
        <v>2020/21</v>
      </c>
      <c r="D1925" t="str">
        <f>"LS GV 206504"</f>
        <v>LS GV 206504</v>
      </c>
      <c r="E1925" t="str">
        <f t="shared" si="340"/>
        <v>LS</v>
      </c>
      <c r="F1925" t="s">
        <v>17</v>
      </c>
      <c r="G1925" t="s">
        <v>18</v>
      </c>
      <c r="H1925">
        <v>4500</v>
      </c>
      <c r="I1925" t="str">
        <f>"Calderdale Smartmove"</f>
        <v>Calderdale Smartmove</v>
      </c>
      <c r="J1925" t="str">
        <f>"LF - Calderdale Smartmove Grants And Subscriptions Supplies And Services Policy and Voluntary Sector Economy and Investment"</f>
        <v>LF - Calderdale Smartmove Grants And Subscriptions Supplies And Services Policy and Voluntary Sector Economy and Investment</v>
      </c>
    </row>
    <row r="1926" spans="1:10" x14ac:dyDescent="0.35">
      <c r="A1926" t="str">
        <f t="shared" si="337"/>
        <v>JAN</v>
      </c>
      <c r="B1926" t="str">
        <f t="shared" si="338"/>
        <v>21</v>
      </c>
      <c r="C1926" t="str">
        <f t="shared" si="339"/>
        <v>2020/21</v>
      </c>
      <c r="D1926" t="str">
        <f>"LS GV 206578"</f>
        <v>LS GV 206578</v>
      </c>
      <c r="E1926" t="str">
        <f t="shared" si="340"/>
        <v>LS</v>
      </c>
      <c r="F1926" t="s">
        <v>17</v>
      </c>
      <c r="G1926" t="s">
        <v>18</v>
      </c>
      <c r="H1926">
        <v>50000</v>
      </c>
      <c r="I1926" t="str">
        <f>"Community Foundation for Calderdale"</f>
        <v>Community Foundation for Calderdale</v>
      </c>
      <c r="J1926" t="str">
        <f>"Never Hungry Again campaign (CFFC) Grants And Subscriptions Supplies And Services COVID19 - DEFRA Emergency Assistance Grant Economy and Investm"</f>
        <v>Never Hungry Again campaign (CFFC) Grants And Subscriptions Supplies And Services COVID19 - DEFRA Emergency Assistance Grant Economy and Investm</v>
      </c>
    </row>
    <row r="1927" spans="1:10" x14ac:dyDescent="0.35">
      <c r="A1927" t="str">
        <f t="shared" si="337"/>
        <v>JAN</v>
      </c>
      <c r="B1927" t="str">
        <f t="shared" si="338"/>
        <v>21</v>
      </c>
      <c r="C1927" t="str">
        <f t="shared" si="339"/>
        <v>2020/21</v>
      </c>
      <c r="D1927" t="str">
        <f>"TF CI 000737"</f>
        <v>TF CI 000737</v>
      </c>
      <c r="E1927" t="str">
        <f t="shared" si="340"/>
        <v>TF</v>
      </c>
      <c r="F1927" t="s">
        <v>17</v>
      </c>
      <c r="G1927" t="s">
        <v>18</v>
      </c>
      <c r="H1927">
        <v>432.83</v>
      </c>
      <c r="I1927" t="str">
        <f>"The Piece Hall Trust"</f>
        <v>The Piece Hall Trust</v>
      </c>
      <c r="J1927" t="str">
        <f>"Rent Rent And Rates Premises And Related Expenses Halifax TIC Economy and Investment"</f>
        <v>Rent Rent And Rates Premises And Related Expenses Halifax TIC Economy and Investment</v>
      </c>
    </row>
    <row r="1928" spans="1:10" x14ac:dyDescent="0.35">
      <c r="A1928" t="str">
        <f t="shared" si="337"/>
        <v>JAN</v>
      </c>
      <c r="B1928" t="str">
        <f t="shared" si="338"/>
        <v>21</v>
      </c>
      <c r="C1928" t="str">
        <f t="shared" si="339"/>
        <v>2020/21</v>
      </c>
      <c r="D1928" t="str">
        <f>"PL RS 021017"</f>
        <v>PL RS 021017</v>
      </c>
      <c r="E1928" t="str">
        <f t="shared" si="340"/>
        <v>PL</v>
      </c>
      <c r="F1928" t="s">
        <v>17</v>
      </c>
      <c r="G1928" t="s">
        <v>18</v>
      </c>
      <c r="H1928">
        <v>22886</v>
      </c>
      <c r="I1928" t="str">
        <f>"Sowerby Bridge Fire And Water Ltd"</f>
        <v>Sowerby Bridge Fire And Water Ltd</v>
      </c>
      <c r="J1928" t="str">
        <f>"Admin Salaries Employees Heritage Action Zone - Sowerby Bridge Economy and Investment"</f>
        <v>Admin Salaries Employees Heritage Action Zone - Sowerby Bridge Economy and Investment</v>
      </c>
    </row>
    <row r="1929" spans="1:10" x14ac:dyDescent="0.35">
      <c r="A1929" t="str">
        <f t="shared" si="337"/>
        <v>JAN</v>
      </c>
      <c r="B1929" t="str">
        <f t="shared" si="338"/>
        <v>21</v>
      </c>
      <c r="C1929" t="str">
        <f t="shared" si="339"/>
        <v>2020/21</v>
      </c>
      <c r="D1929" t="str">
        <f>"PL RS 021019"</f>
        <v>PL RS 021019</v>
      </c>
      <c r="E1929" t="str">
        <f t="shared" si="340"/>
        <v>PL</v>
      </c>
      <c r="F1929" t="s">
        <v>17</v>
      </c>
      <c r="G1929" t="s">
        <v>18</v>
      </c>
      <c r="H1929">
        <v>7500</v>
      </c>
      <c r="I1929" t="str">
        <f>"Sowerby Bridge Fire And Water Ltd"</f>
        <v>Sowerby Bridge Fire And Water Ltd</v>
      </c>
      <c r="J1929" t="str">
        <f>". Miscellaneous Expenses Supplies And Services Heritage Action Zone - Sowerby Bridge Economy and Investment"</f>
        <v>. Miscellaneous Expenses Supplies And Services Heritage Action Zone - Sowerby Bridge Economy and Investment</v>
      </c>
    </row>
    <row r="1930" spans="1:10" x14ac:dyDescent="0.35">
      <c r="A1930" t="str">
        <f t="shared" si="337"/>
        <v>JAN</v>
      </c>
      <c r="B1930" t="str">
        <f t="shared" si="338"/>
        <v>21</v>
      </c>
      <c r="C1930" t="str">
        <f t="shared" si="339"/>
        <v>2020/21</v>
      </c>
      <c r="E1930" t="str">
        <f t="shared" si="340"/>
        <v/>
      </c>
      <c r="F1930" t="e">
        <v>#N/A</v>
      </c>
      <c r="G1930" t="e">
        <v>#N/A</v>
      </c>
      <c r="H1930">
        <v>6526.07</v>
      </c>
      <c r="I1930" t="str">
        <f>"Hebden Bridge Community Association"</f>
        <v>Hebden Bridge Community Association</v>
      </c>
      <c r="J1930" t="str">
        <f>"Bellwin costs for HB Community Assoc Grants And Subscriptions Supplies And Services Council wide Finance/ Other Costs Other Services"</f>
        <v>Bellwin costs for HB Community Assoc Grants And Subscriptions Supplies And Services Council wide Finance/ Other Costs Other Services</v>
      </c>
    </row>
    <row r="1931" spans="1:10" x14ac:dyDescent="0.35">
      <c r="A1931" t="str">
        <f t="shared" si="337"/>
        <v>JAN</v>
      </c>
      <c r="B1931" t="str">
        <f t="shared" si="338"/>
        <v>21</v>
      </c>
      <c r="C1931" t="str">
        <f t="shared" si="339"/>
        <v>2020/21</v>
      </c>
      <c r="D1931" t="str">
        <f>"SC CK 217447"</f>
        <v>SC CK 217447</v>
      </c>
      <c r="E1931" t="str">
        <f t="shared" si="340"/>
        <v>SC</v>
      </c>
      <c r="F1931" t="s">
        <v>21</v>
      </c>
      <c r="G1931" t="s">
        <v>22</v>
      </c>
      <c r="H1931">
        <v>4144.12</v>
      </c>
      <c r="I1931" t="str">
        <f>"Noahs Ark Centre"</f>
        <v>Noahs Ark Centre</v>
      </c>
      <c r="J1931" t="str">
        <f>"Prevention / Early Intervention Private Contractors Agency And Contracted Services Transformation Plan - grant funding Integrated commissioning"</f>
        <v>Prevention / Early Intervention Private Contractors Agency And Contracted Services Transformation Plan - grant funding Integrated commissioning</v>
      </c>
    </row>
    <row r="1932" spans="1:10" x14ac:dyDescent="0.35">
      <c r="A1932" t="str">
        <f t="shared" si="337"/>
        <v>JAN</v>
      </c>
      <c r="B1932" t="str">
        <f t="shared" si="338"/>
        <v>21</v>
      </c>
      <c r="C1932" t="str">
        <f t="shared" si="339"/>
        <v>2020/21</v>
      </c>
      <c r="D1932" t="str">
        <f>"SC CK 217447"</f>
        <v>SC CK 217447</v>
      </c>
      <c r="E1932" t="str">
        <f t="shared" si="340"/>
        <v>SC</v>
      </c>
      <c r="F1932" t="s">
        <v>21</v>
      </c>
      <c r="G1932" t="s">
        <v>22</v>
      </c>
      <c r="H1932">
        <v>4144.12</v>
      </c>
      <c r="I1932" t="str">
        <f>"Noahs Ark Centre"</f>
        <v>Noahs Ark Centre</v>
      </c>
      <c r="J1932" t="str">
        <f>"Prevention / Early Intervention Private Contractors Agency And Contracted Services Transformation Plan - grant funding Integrated commissioning"</f>
        <v>Prevention / Early Intervention Private Contractors Agency And Contracted Services Transformation Plan - grant funding Integrated commissioning</v>
      </c>
    </row>
    <row r="1933" spans="1:10" x14ac:dyDescent="0.35">
      <c r="A1933" t="str">
        <f t="shared" si="337"/>
        <v>JAN</v>
      </c>
      <c r="B1933" t="str">
        <f t="shared" si="338"/>
        <v>21</v>
      </c>
      <c r="C1933" t="str">
        <f t="shared" si="339"/>
        <v>2020/21</v>
      </c>
      <c r="D1933" t="str">
        <f>"SC CK 217330"</f>
        <v>SC CK 217330</v>
      </c>
      <c r="E1933" t="str">
        <f t="shared" si="340"/>
        <v>SC</v>
      </c>
      <c r="F1933" t="s">
        <v>21</v>
      </c>
      <c r="G1933" t="s">
        <v>22</v>
      </c>
      <c r="H1933">
        <v>9567</v>
      </c>
      <c r="I1933" t="str">
        <f>"Womencentre Ltd"</f>
        <v>Womencentre Ltd</v>
      </c>
      <c r="J1933" t="str">
        <f>"AP post - Womans refuge Voluntary Associations Agency And Contracted Services Domestic Abuse Integrated commissioning - children's"</f>
        <v>AP post - Womans refuge Voluntary Associations Agency And Contracted Services Domestic Abuse Integrated commissioning - children's</v>
      </c>
    </row>
    <row r="1934" spans="1:10" x14ac:dyDescent="0.35">
      <c r="A1934" t="str">
        <f t="shared" si="337"/>
        <v>JAN</v>
      </c>
      <c r="B1934" t="str">
        <f t="shared" si="338"/>
        <v>21</v>
      </c>
      <c r="C1934" t="str">
        <f t="shared" si="339"/>
        <v>2020/21</v>
      </c>
      <c r="D1934" t="str">
        <f>"SC CK 215735"</f>
        <v>SC CK 215735</v>
      </c>
      <c r="E1934" t="str">
        <f t="shared" si="340"/>
        <v>SC</v>
      </c>
      <c r="F1934" t="s">
        <v>21</v>
      </c>
      <c r="G1934" t="s">
        <v>22</v>
      </c>
      <c r="H1934">
        <v>71047.5</v>
      </c>
      <c r="I1934" t="str">
        <f>"Womencentre Ltd"</f>
        <v>Womencentre Ltd</v>
      </c>
      <c r="J1934" t="str">
        <f>"Contract Voluntary Associations Agency And Contracted Services Domestic Abuse Integrated commissioning - children's"</f>
        <v>Contract Voluntary Associations Agency And Contracted Services Domestic Abuse Integrated commissioning - children's</v>
      </c>
    </row>
    <row r="1935" spans="1:10" x14ac:dyDescent="0.35">
      <c r="A1935" t="str">
        <f t="shared" si="337"/>
        <v>JAN</v>
      </c>
      <c r="B1935" t="str">
        <f t="shared" si="338"/>
        <v>21</v>
      </c>
      <c r="C1935" t="str">
        <f t="shared" si="339"/>
        <v>2020/21</v>
      </c>
      <c r="D1935" t="str">
        <f>"SC CK 215400"</f>
        <v>SC CK 215400</v>
      </c>
      <c r="E1935" t="str">
        <f t="shared" si="340"/>
        <v>SC</v>
      </c>
      <c r="F1935" t="s">
        <v>21</v>
      </c>
      <c r="G1935" t="s">
        <v>22</v>
      </c>
      <c r="H1935">
        <v>152481.74</v>
      </c>
      <c r="I1935" t="str">
        <f>"North Halifax Partnership Ltd"</f>
        <v>North Halifax Partnership Ltd</v>
      </c>
      <c r="J1935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1936" spans="1:10" x14ac:dyDescent="0.35">
      <c r="A1936" t="str">
        <f t="shared" si="337"/>
        <v>JAN</v>
      </c>
      <c r="B1936" t="str">
        <f t="shared" si="338"/>
        <v>21</v>
      </c>
      <c r="C1936" t="str">
        <f t="shared" si="339"/>
        <v>2020/21</v>
      </c>
      <c r="D1936" t="str">
        <f>"SC CK 215517"</f>
        <v>SC CK 215517</v>
      </c>
      <c r="E1936" t="str">
        <f t="shared" si="340"/>
        <v>SC</v>
      </c>
      <c r="F1936" t="s">
        <v>21</v>
      </c>
      <c r="G1936" t="s">
        <v>22</v>
      </c>
      <c r="H1936">
        <v>184620.84</v>
      </c>
      <c r="I1936" t="str">
        <f>"Halifax Opportunities Trust"</f>
        <v>Halifax Opportunities Trust</v>
      </c>
      <c r="J1936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1937" spans="1:10" x14ac:dyDescent="0.35">
      <c r="A1937" t="str">
        <f t="shared" si="337"/>
        <v>JAN</v>
      </c>
      <c r="B1937" t="str">
        <f t="shared" si="338"/>
        <v>21</v>
      </c>
      <c r="C1937" t="str">
        <f t="shared" si="339"/>
        <v>2020/21</v>
      </c>
      <c r="D1937" t="str">
        <f>"SC CK 216312"</f>
        <v>SC CK 216312</v>
      </c>
      <c r="E1937" t="str">
        <f t="shared" si="340"/>
        <v>SC</v>
      </c>
      <c r="F1937" t="s">
        <v>21</v>
      </c>
      <c r="G1937" t="s">
        <v>22</v>
      </c>
      <c r="H1937">
        <v>12000</v>
      </c>
      <c r="I1937" t="str">
        <f>"Parents Against Child Exploitation(PACE)"</f>
        <v>Parents Against Child Exploitation(PACE)</v>
      </c>
      <c r="J1937" t="str">
        <f>"C &amp; P contracts - Child sex exploitation Expenses Supplies And Services CYP Commissioned Services Integrated commissioning - children's"</f>
        <v>C &amp; P contracts - Child sex exploitation Expenses Supplies And Services CYP Commissioned Services Integrated commissioning - children's</v>
      </c>
    </row>
    <row r="1938" spans="1:10" x14ac:dyDescent="0.35">
      <c r="A1938" t="str">
        <f t="shared" si="337"/>
        <v>JAN</v>
      </c>
      <c r="B1938" t="str">
        <f t="shared" si="338"/>
        <v>21</v>
      </c>
      <c r="C1938" t="str">
        <f t="shared" si="339"/>
        <v>2020/21</v>
      </c>
      <c r="D1938" t="str">
        <f>"SC DC 215411"</f>
        <v>SC DC 215411</v>
      </c>
      <c r="E1938" t="str">
        <f t="shared" si="340"/>
        <v>SC</v>
      </c>
      <c r="F1938" t="s">
        <v>21</v>
      </c>
      <c r="G1938" t="s">
        <v>22</v>
      </c>
      <c r="H1938">
        <v>443.52</v>
      </c>
      <c r="I1938" t="str">
        <f>"The Mayfield Trust"</f>
        <v>The Mayfield Trust</v>
      </c>
      <c r="J1938" t="str">
        <f>"Personal Care Private Contractors Agency And Contracted Services Short Breaks Integrated commissioning - children's"</f>
        <v>Personal Care Private Contractors Agency And Contracted Services Short Breaks Integrated commissioning - children's</v>
      </c>
    </row>
    <row r="1939" spans="1:10" x14ac:dyDescent="0.35">
      <c r="A1939" t="str">
        <f t="shared" si="337"/>
        <v>JAN</v>
      </c>
      <c r="B1939" t="str">
        <f t="shared" si="338"/>
        <v>21</v>
      </c>
      <c r="C1939" t="str">
        <f t="shared" si="339"/>
        <v>2020/21</v>
      </c>
      <c r="D1939" t="str">
        <f>"SC DC 215411"</f>
        <v>SC DC 215411</v>
      </c>
      <c r="E1939" t="str">
        <f t="shared" si="340"/>
        <v>SC</v>
      </c>
      <c r="F1939" t="s">
        <v>21</v>
      </c>
      <c r="G1939" t="s">
        <v>22</v>
      </c>
      <c r="H1939">
        <v>443.52</v>
      </c>
      <c r="I1939" t="str">
        <f>"The Mayfield Trust"</f>
        <v>The Mayfield Trust</v>
      </c>
      <c r="J1939" t="str">
        <f>"Personal Care Private Contractors Agency And Contracted Services Short Breaks Integrated commissioning - children's"</f>
        <v>Personal Care Private Contractors Agency And Contracted Services Short Breaks Integrated commissioning - children's</v>
      </c>
    </row>
    <row r="1940" spans="1:10" x14ac:dyDescent="0.35">
      <c r="A1940" t="str">
        <f t="shared" si="337"/>
        <v>JAN</v>
      </c>
      <c r="B1940" t="str">
        <f t="shared" si="338"/>
        <v>21</v>
      </c>
      <c r="C1940" t="str">
        <f t="shared" si="339"/>
        <v>2020/21</v>
      </c>
      <c r="D1940" t="str">
        <f>"SC DC 215411"</f>
        <v>SC DC 215411</v>
      </c>
      <c r="E1940" t="str">
        <f t="shared" si="340"/>
        <v>SC</v>
      </c>
      <c r="F1940" t="s">
        <v>21</v>
      </c>
      <c r="G1940" t="s">
        <v>22</v>
      </c>
      <c r="H1940">
        <v>459.36</v>
      </c>
      <c r="I1940" t="str">
        <f>"The Mayfield Trust"</f>
        <v>The Mayfield Trust</v>
      </c>
      <c r="J1940" t="str">
        <f>"Personal Care Private Contractors Agency And Contracted Services Short Breaks Integrated commissioning - children's"</f>
        <v>Personal Care Private Contractors Agency And Contracted Services Short Breaks Integrated commissioning - children's</v>
      </c>
    </row>
    <row r="1941" spans="1:10" x14ac:dyDescent="0.35">
      <c r="A1941" t="str">
        <f t="shared" si="337"/>
        <v>JAN</v>
      </c>
      <c r="B1941" t="str">
        <f t="shared" si="338"/>
        <v>21</v>
      </c>
      <c r="C1941" t="str">
        <f t="shared" si="339"/>
        <v>2020/21</v>
      </c>
      <c r="D1941" t="str">
        <f>"SC DC 216886"</f>
        <v>SC DC 216886</v>
      </c>
      <c r="E1941" t="str">
        <f t="shared" si="340"/>
        <v>SC</v>
      </c>
      <c r="F1941" t="s">
        <v>21</v>
      </c>
      <c r="G1941" t="s">
        <v>22</v>
      </c>
      <c r="H1941">
        <v>247.2</v>
      </c>
      <c r="I1941" t="str">
        <f>"Carers Trust Mid Yorkshire"</f>
        <v>Carers Trust Mid Yorkshire</v>
      </c>
      <c r="J1941" t="str">
        <f t="shared" ref="J1941:J1954" si="341">"Outreach Private Contractors Agency And Contracted Services Short Breaks Integrated commissioning - children's"</f>
        <v>Outreach Private Contractors Agency And Contracted Services Short Breaks Integrated commissioning - children's</v>
      </c>
    </row>
    <row r="1942" spans="1:10" x14ac:dyDescent="0.35">
      <c r="A1942" t="str">
        <f t="shared" si="337"/>
        <v>JAN</v>
      </c>
      <c r="B1942" t="str">
        <f t="shared" si="338"/>
        <v>21</v>
      </c>
      <c r="C1942" t="str">
        <f t="shared" si="339"/>
        <v>2020/21</v>
      </c>
      <c r="D1942" t="str">
        <f>"SC DC 215835"</f>
        <v>SC DC 215835</v>
      </c>
      <c r="E1942" t="str">
        <f t="shared" si="340"/>
        <v>SC</v>
      </c>
      <c r="F1942" t="s">
        <v>21</v>
      </c>
      <c r="G1942" t="s">
        <v>22</v>
      </c>
      <c r="H1942">
        <v>47.52</v>
      </c>
      <c r="I1942" t="str">
        <f t="shared" ref="I1942:I1954" si="342">"The Mayfield Trust"</f>
        <v>The Mayfield Trust</v>
      </c>
      <c r="J1942" t="str">
        <f t="shared" si="341"/>
        <v>Outreach Private Contractors Agency And Contracted Services Short Breaks Integrated commissioning - children's</v>
      </c>
    </row>
    <row r="1943" spans="1:10" x14ac:dyDescent="0.35">
      <c r="A1943" t="str">
        <f t="shared" si="337"/>
        <v>JAN</v>
      </c>
      <c r="B1943" t="str">
        <f t="shared" si="338"/>
        <v>21</v>
      </c>
      <c r="C1943" t="str">
        <f t="shared" si="339"/>
        <v>2020/21</v>
      </c>
      <c r="D1943" t="str">
        <f>"SC DC 215411"</f>
        <v>SC DC 215411</v>
      </c>
      <c r="E1943" t="str">
        <f t="shared" si="340"/>
        <v>SC</v>
      </c>
      <c r="F1943" t="s">
        <v>21</v>
      </c>
      <c r="G1943" t="s">
        <v>22</v>
      </c>
      <c r="H1943">
        <v>126.72</v>
      </c>
      <c r="I1943" t="str">
        <f t="shared" si="342"/>
        <v>The Mayfield Trust</v>
      </c>
      <c r="J1943" t="str">
        <f t="shared" si="341"/>
        <v>Outreach Private Contractors Agency And Contracted Services Short Breaks Integrated commissioning - children's</v>
      </c>
    </row>
    <row r="1944" spans="1:10" x14ac:dyDescent="0.35">
      <c r="A1944" t="str">
        <f t="shared" si="337"/>
        <v>JAN</v>
      </c>
      <c r="B1944" t="str">
        <f t="shared" si="338"/>
        <v>21</v>
      </c>
      <c r="C1944" t="str">
        <f t="shared" si="339"/>
        <v>2020/21</v>
      </c>
      <c r="D1944" t="str">
        <f>"SC DC 215411"</f>
        <v>SC DC 215411</v>
      </c>
      <c r="E1944" t="str">
        <f t="shared" si="340"/>
        <v>SC</v>
      </c>
      <c r="F1944" t="s">
        <v>21</v>
      </c>
      <c r="G1944" t="s">
        <v>22</v>
      </c>
      <c r="H1944">
        <v>126.72</v>
      </c>
      <c r="I1944" t="str">
        <f t="shared" si="342"/>
        <v>The Mayfield Trust</v>
      </c>
      <c r="J1944" t="str">
        <f t="shared" si="341"/>
        <v>Outreach Private Contractors Agency And Contracted Services Short Breaks Integrated commissioning - children's</v>
      </c>
    </row>
    <row r="1945" spans="1:10" x14ac:dyDescent="0.35">
      <c r="A1945" t="str">
        <f t="shared" si="337"/>
        <v>JAN</v>
      </c>
      <c r="B1945" t="str">
        <f t="shared" si="338"/>
        <v>21</v>
      </c>
      <c r="C1945" t="str">
        <f t="shared" si="339"/>
        <v>2020/21</v>
      </c>
      <c r="D1945" t="str">
        <f>"SC DC 215416"</f>
        <v>SC DC 215416</v>
      </c>
      <c r="E1945" t="str">
        <f t="shared" si="340"/>
        <v>SC</v>
      </c>
      <c r="F1945" t="s">
        <v>21</v>
      </c>
      <c r="G1945" t="s">
        <v>22</v>
      </c>
      <c r="H1945">
        <v>95.04</v>
      </c>
      <c r="I1945" t="str">
        <f t="shared" si="342"/>
        <v>The Mayfield Trust</v>
      </c>
      <c r="J1945" t="str">
        <f t="shared" si="341"/>
        <v>Outreach Private Contractors Agency And Contracted Services Short Breaks Integrated commissioning - children's</v>
      </c>
    </row>
    <row r="1946" spans="1:10" x14ac:dyDescent="0.35">
      <c r="A1946" t="str">
        <f t="shared" si="337"/>
        <v>JAN</v>
      </c>
      <c r="B1946" t="str">
        <f t="shared" si="338"/>
        <v>21</v>
      </c>
      <c r="C1946" t="str">
        <f t="shared" si="339"/>
        <v>2020/21</v>
      </c>
      <c r="D1946" t="str">
        <f>"SC DC 215835"</f>
        <v>SC DC 215835</v>
      </c>
      <c r="E1946" t="str">
        <f t="shared" si="340"/>
        <v>SC</v>
      </c>
      <c r="F1946" t="s">
        <v>21</v>
      </c>
      <c r="G1946" t="s">
        <v>22</v>
      </c>
      <c r="H1946">
        <v>285.12</v>
      </c>
      <c r="I1946" t="str">
        <f t="shared" si="342"/>
        <v>The Mayfield Trust</v>
      </c>
      <c r="J1946" t="str">
        <f t="shared" si="341"/>
        <v>Outreach Private Contractors Agency And Contracted Services Short Breaks Integrated commissioning - children's</v>
      </c>
    </row>
    <row r="1947" spans="1:10" x14ac:dyDescent="0.35">
      <c r="A1947" t="str">
        <f t="shared" si="337"/>
        <v>JAN</v>
      </c>
      <c r="B1947" t="str">
        <f t="shared" si="338"/>
        <v>21</v>
      </c>
      <c r="C1947" t="str">
        <f t="shared" si="339"/>
        <v>2020/21</v>
      </c>
      <c r="D1947" t="str">
        <f>"SC DC 215409"</f>
        <v>SC DC 215409</v>
      </c>
      <c r="E1947" t="str">
        <f t="shared" si="340"/>
        <v>SC</v>
      </c>
      <c r="F1947" t="s">
        <v>21</v>
      </c>
      <c r="G1947" t="s">
        <v>22</v>
      </c>
      <c r="H1947">
        <v>190.08</v>
      </c>
      <c r="I1947" t="str">
        <f t="shared" si="342"/>
        <v>The Mayfield Trust</v>
      </c>
      <c r="J1947" t="str">
        <f t="shared" si="341"/>
        <v>Outreach Private Contractors Agency And Contracted Services Short Breaks Integrated commissioning - children's</v>
      </c>
    </row>
    <row r="1948" spans="1:10" x14ac:dyDescent="0.35">
      <c r="A1948" t="str">
        <f t="shared" si="337"/>
        <v>JAN</v>
      </c>
      <c r="B1948" t="str">
        <f t="shared" si="338"/>
        <v>21</v>
      </c>
      <c r="C1948" t="str">
        <f t="shared" si="339"/>
        <v>2020/21</v>
      </c>
      <c r="D1948" t="str">
        <f>"SC DC 215410"</f>
        <v>SC DC 215410</v>
      </c>
      <c r="E1948" t="str">
        <f t="shared" si="340"/>
        <v>SC</v>
      </c>
      <c r="F1948" t="s">
        <v>21</v>
      </c>
      <c r="G1948" t="s">
        <v>22</v>
      </c>
      <c r="H1948">
        <v>190.08</v>
      </c>
      <c r="I1948" t="str">
        <f t="shared" si="342"/>
        <v>The Mayfield Trust</v>
      </c>
      <c r="J1948" t="str">
        <f t="shared" si="341"/>
        <v>Outreach Private Contractors Agency And Contracted Services Short Breaks Integrated commissioning - children's</v>
      </c>
    </row>
    <row r="1949" spans="1:10" x14ac:dyDescent="0.35">
      <c r="A1949" t="str">
        <f t="shared" si="337"/>
        <v>JAN</v>
      </c>
      <c r="B1949" t="str">
        <f t="shared" si="338"/>
        <v>21</v>
      </c>
      <c r="C1949" t="str">
        <f t="shared" si="339"/>
        <v>2020/21</v>
      </c>
      <c r="D1949" t="str">
        <f>"SC DC 217015"</f>
        <v>SC DC 217015</v>
      </c>
      <c r="E1949" t="str">
        <f t="shared" si="340"/>
        <v>SC</v>
      </c>
      <c r="F1949" t="s">
        <v>21</v>
      </c>
      <c r="G1949" t="s">
        <v>22</v>
      </c>
      <c r="H1949">
        <v>285.12</v>
      </c>
      <c r="I1949" t="str">
        <f t="shared" si="342"/>
        <v>The Mayfield Trust</v>
      </c>
      <c r="J1949" t="str">
        <f t="shared" si="341"/>
        <v>Outreach Private Contractors Agency And Contracted Services Short Breaks Integrated commissioning - children's</v>
      </c>
    </row>
    <row r="1950" spans="1:10" x14ac:dyDescent="0.35">
      <c r="A1950" t="str">
        <f t="shared" si="337"/>
        <v>JAN</v>
      </c>
      <c r="B1950" t="str">
        <f t="shared" si="338"/>
        <v>21</v>
      </c>
      <c r="C1950" t="str">
        <f t="shared" si="339"/>
        <v>2020/21</v>
      </c>
      <c r="D1950" t="str">
        <f>"SC DC 215416"</f>
        <v>SC DC 215416</v>
      </c>
      <c r="E1950" t="str">
        <f t="shared" si="340"/>
        <v>SC</v>
      </c>
      <c r="F1950" t="s">
        <v>21</v>
      </c>
      <c r="G1950" t="s">
        <v>22</v>
      </c>
      <c r="H1950">
        <v>95.04</v>
      </c>
      <c r="I1950" t="str">
        <f t="shared" si="342"/>
        <v>The Mayfield Trust</v>
      </c>
      <c r="J1950" t="str">
        <f t="shared" si="341"/>
        <v>Outreach Private Contractors Agency And Contracted Services Short Breaks Integrated commissioning - children's</v>
      </c>
    </row>
    <row r="1951" spans="1:10" x14ac:dyDescent="0.35">
      <c r="A1951" t="str">
        <f t="shared" si="337"/>
        <v>JAN</v>
      </c>
      <c r="B1951" t="str">
        <f t="shared" si="338"/>
        <v>21</v>
      </c>
      <c r="C1951" t="str">
        <f t="shared" si="339"/>
        <v>2020/21</v>
      </c>
      <c r="D1951" t="str">
        <f>"SC DC 215413"</f>
        <v>SC DC 215413</v>
      </c>
      <c r="E1951" t="str">
        <f t="shared" si="340"/>
        <v>SC</v>
      </c>
      <c r="F1951" t="s">
        <v>21</v>
      </c>
      <c r="G1951" t="s">
        <v>22</v>
      </c>
      <c r="H1951">
        <v>190.08</v>
      </c>
      <c r="I1951" t="str">
        <f t="shared" si="342"/>
        <v>The Mayfield Trust</v>
      </c>
      <c r="J1951" t="str">
        <f t="shared" si="341"/>
        <v>Outreach Private Contractors Agency And Contracted Services Short Breaks Integrated commissioning - children's</v>
      </c>
    </row>
    <row r="1952" spans="1:10" x14ac:dyDescent="0.35">
      <c r="A1952" t="str">
        <f t="shared" si="337"/>
        <v>JAN</v>
      </c>
      <c r="B1952" t="str">
        <f t="shared" si="338"/>
        <v>21</v>
      </c>
      <c r="C1952" t="str">
        <f t="shared" si="339"/>
        <v>2020/21</v>
      </c>
      <c r="D1952" t="str">
        <f>"SC DC 215408"</f>
        <v>SC DC 215408</v>
      </c>
      <c r="E1952" t="str">
        <f t="shared" si="340"/>
        <v>SC</v>
      </c>
      <c r="F1952" t="s">
        <v>21</v>
      </c>
      <c r="G1952" t="s">
        <v>22</v>
      </c>
      <c r="H1952">
        <v>190.08</v>
      </c>
      <c r="I1952" t="str">
        <f t="shared" si="342"/>
        <v>The Mayfield Trust</v>
      </c>
      <c r="J1952" t="str">
        <f t="shared" si="341"/>
        <v>Outreach Private Contractors Agency And Contracted Services Short Breaks Integrated commissioning - children's</v>
      </c>
    </row>
    <row r="1953" spans="1:10" x14ac:dyDescent="0.35">
      <c r="A1953" t="str">
        <f t="shared" si="337"/>
        <v>JAN</v>
      </c>
      <c r="B1953" t="str">
        <f t="shared" si="338"/>
        <v>21</v>
      </c>
      <c r="C1953" t="str">
        <f t="shared" si="339"/>
        <v>2020/21</v>
      </c>
      <c r="D1953" t="str">
        <f>"SC DC 215407"</f>
        <v>SC DC 215407</v>
      </c>
      <c r="E1953" t="str">
        <f t="shared" si="340"/>
        <v>SC</v>
      </c>
      <c r="F1953" t="s">
        <v>21</v>
      </c>
      <c r="G1953" t="s">
        <v>22</v>
      </c>
      <c r="H1953">
        <v>95.04</v>
      </c>
      <c r="I1953" t="str">
        <f t="shared" si="342"/>
        <v>The Mayfield Trust</v>
      </c>
      <c r="J1953" t="str">
        <f t="shared" si="341"/>
        <v>Outreach Private Contractors Agency And Contracted Services Short Breaks Integrated commissioning - children's</v>
      </c>
    </row>
    <row r="1954" spans="1:10" x14ac:dyDescent="0.35">
      <c r="A1954" t="str">
        <f t="shared" si="337"/>
        <v>JAN</v>
      </c>
      <c r="B1954" t="str">
        <f t="shared" si="338"/>
        <v>21</v>
      </c>
      <c r="C1954" t="str">
        <f t="shared" si="339"/>
        <v>2020/21</v>
      </c>
      <c r="D1954" t="str">
        <f>"SC DC 215411"</f>
        <v>SC DC 215411</v>
      </c>
      <c r="E1954" t="str">
        <f t="shared" si="340"/>
        <v>SC</v>
      </c>
      <c r="F1954" t="s">
        <v>21</v>
      </c>
      <c r="G1954" t="s">
        <v>22</v>
      </c>
      <c r="H1954">
        <v>126.72</v>
      </c>
      <c r="I1954" t="str">
        <f t="shared" si="342"/>
        <v>The Mayfield Trust</v>
      </c>
      <c r="J1954" t="str">
        <f t="shared" si="341"/>
        <v>Outreach Private Contractors Agency And Contracted Services Short Breaks Integrated commissioning - children's</v>
      </c>
    </row>
    <row r="1955" spans="1:10" x14ac:dyDescent="0.35">
      <c r="A1955" t="str">
        <f t="shared" si="337"/>
        <v>JAN</v>
      </c>
      <c r="B1955" t="str">
        <f t="shared" si="338"/>
        <v>21</v>
      </c>
      <c r="C1955" t="str">
        <f t="shared" si="339"/>
        <v>2020/21</v>
      </c>
      <c r="D1955" t="str">
        <f>"CE PH 014104"</f>
        <v>CE PH 014104</v>
      </c>
      <c r="E1955" t="str">
        <f t="shared" si="340"/>
        <v>CE</v>
      </c>
      <c r="F1955" t="s">
        <v>23</v>
      </c>
      <c r="G1955" t="s">
        <v>24</v>
      </c>
      <c r="H1955">
        <v>249204.83</v>
      </c>
      <c r="I1955" t="str">
        <f>"Humankind"</f>
        <v>Humankind</v>
      </c>
      <c r="J1955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1956" spans="1:10" x14ac:dyDescent="0.35">
      <c r="A1956" t="str">
        <f t="shared" si="337"/>
        <v>JAN</v>
      </c>
      <c r="B1956" t="str">
        <f t="shared" si="338"/>
        <v>21</v>
      </c>
      <c r="C1956" t="str">
        <f t="shared" si="339"/>
        <v>2020/21</v>
      </c>
      <c r="D1956" t="str">
        <f>"CE PH 014108"</f>
        <v>CE PH 014108</v>
      </c>
      <c r="E1956" t="str">
        <f t="shared" si="340"/>
        <v>CE</v>
      </c>
      <c r="F1956" t="s">
        <v>23</v>
      </c>
      <c r="G1956" t="s">
        <v>24</v>
      </c>
      <c r="H1956">
        <v>23653</v>
      </c>
      <c r="I1956" t="str">
        <f>"The Brunswick Centre"</f>
        <v>The Brunswick Centre</v>
      </c>
      <c r="J1956" t="str">
        <f>"Brunswick HIV work Private Contractors Agency And Contracted Services Sexual Health Public Health"</f>
        <v>Brunswick HIV work Private Contractors Agency And Contracted Services Sexual Health Public Health</v>
      </c>
    </row>
    <row r="1957" spans="1:10" x14ac:dyDescent="0.35">
      <c r="A1957" t="str">
        <f t="shared" si="337"/>
        <v>JAN</v>
      </c>
      <c r="B1957" t="str">
        <f t="shared" si="338"/>
        <v>21</v>
      </c>
      <c r="C1957" t="str">
        <f t="shared" si="339"/>
        <v>2020/21</v>
      </c>
      <c r="D1957" t="str">
        <f>"CE PH 014333"</f>
        <v>CE PH 014333</v>
      </c>
      <c r="E1957" t="str">
        <f t="shared" si="340"/>
        <v>CE</v>
      </c>
      <c r="F1957" t="s">
        <v>23</v>
      </c>
      <c r="G1957" t="s">
        <v>24</v>
      </c>
      <c r="H1957">
        <v>323</v>
      </c>
      <c r="I1957" t="str">
        <f>"Locala Community Partnerships CIC"</f>
        <v>Locala Community Partnerships CIC</v>
      </c>
      <c r="J1957" t="str">
        <f>"Out of area GUM Private Contractors Agency And Contracted Services Sexual Health Public Health"</f>
        <v>Out of area GUM Private Contractors Agency And Contracted Services Sexual Health Public Health</v>
      </c>
    </row>
    <row r="1958" spans="1:10" x14ac:dyDescent="0.35">
      <c r="A1958" t="str">
        <f t="shared" si="337"/>
        <v>JAN</v>
      </c>
      <c r="B1958" t="str">
        <f t="shared" si="338"/>
        <v>21</v>
      </c>
      <c r="C1958" t="str">
        <f t="shared" si="339"/>
        <v>2020/21</v>
      </c>
      <c r="D1958" t="str">
        <f>"CE PH 014331"</f>
        <v>CE PH 014331</v>
      </c>
      <c r="E1958" t="str">
        <f t="shared" si="340"/>
        <v>CE</v>
      </c>
      <c r="F1958" t="s">
        <v>23</v>
      </c>
      <c r="G1958" t="s">
        <v>24</v>
      </c>
      <c r="H1958">
        <v>1731</v>
      </c>
      <c r="I1958" t="str">
        <f>"Locala Community Partnerships CIC"</f>
        <v>Locala Community Partnerships CIC</v>
      </c>
      <c r="J1958" t="str">
        <f>"Out of area GUM Private Contractors Agency And Contracted Services Sexual Health Public Health"</f>
        <v>Out of area GUM Private Contractors Agency And Contracted Services Sexual Health Public Health</v>
      </c>
    </row>
    <row r="1959" spans="1:10" x14ac:dyDescent="0.35">
      <c r="A1959" t="str">
        <f t="shared" si="337"/>
        <v>JAN</v>
      </c>
      <c r="B1959" t="str">
        <f t="shared" si="338"/>
        <v>21</v>
      </c>
      <c r="C1959" t="str">
        <f t="shared" si="339"/>
        <v>2020/21</v>
      </c>
      <c r="D1959" t="str">
        <f>"CE PH 014353"</f>
        <v>CE PH 014353</v>
      </c>
      <c r="E1959" t="str">
        <f t="shared" si="340"/>
        <v>CE</v>
      </c>
      <c r="F1959" t="s">
        <v>23</v>
      </c>
      <c r="G1959" t="s">
        <v>24</v>
      </c>
      <c r="H1959">
        <v>9791.93</v>
      </c>
      <c r="I1959" t="str">
        <f>"Locala Community Partnerships CIC"</f>
        <v>Locala Community Partnerships CIC</v>
      </c>
      <c r="J1959" t="str">
        <f>"IPC Miscellaneous Expenses Supplies And Services COVID19 - outbreak management Public Health"</f>
        <v>IPC Miscellaneous Expenses Supplies And Services COVID19 - outbreak management Public Health</v>
      </c>
    </row>
    <row r="1960" spans="1:10" x14ac:dyDescent="0.35">
      <c r="A1960" t="str">
        <f t="shared" si="337"/>
        <v>JAN</v>
      </c>
      <c r="B1960" t="str">
        <f t="shared" si="338"/>
        <v>21</v>
      </c>
      <c r="C1960" t="str">
        <f t="shared" si="339"/>
        <v>2020/21</v>
      </c>
      <c r="D1960" t="str">
        <f>"CE PH 014354"</f>
        <v>CE PH 014354</v>
      </c>
      <c r="E1960" t="str">
        <f t="shared" si="340"/>
        <v>CE</v>
      </c>
      <c r="F1960" t="s">
        <v>23</v>
      </c>
      <c r="G1960" t="s">
        <v>24</v>
      </c>
      <c r="H1960">
        <v>3263.98</v>
      </c>
      <c r="I1960" t="str">
        <f>"Locala Community Partnerships CIC"</f>
        <v>Locala Community Partnerships CIC</v>
      </c>
      <c r="J1960" t="str">
        <f>"IPC Miscellaneous Expenses Supplies And Services COVID19 - outbreak management Public Health"</f>
        <v>IPC Miscellaneous Expenses Supplies And Services COVID19 - outbreak management Public Health</v>
      </c>
    </row>
    <row r="1961" spans="1:10" x14ac:dyDescent="0.35">
      <c r="A1961" t="str">
        <f t="shared" si="337"/>
        <v>JAN</v>
      </c>
      <c r="B1961" t="str">
        <f t="shared" si="338"/>
        <v>21</v>
      </c>
      <c r="C1961" t="str">
        <f t="shared" si="339"/>
        <v>2020/21</v>
      </c>
      <c r="D1961" t="str">
        <f>"CE PH 014346"</f>
        <v>CE PH 014346</v>
      </c>
      <c r="E1961" t="str">
        <f t="shared" si="340"/>
        <v>CE</v>
      </c>
      <c r="F1961" t="s">
        <v>23</v>
      </c>
      <c r="G1961" t="s">
        <v>24</v>
      </c>
      <c r="H1961">
        <v>600</v>
      </c>
      <c r="I1961" t="str">
        <f>"Mothershare"</f>
        <v>Mothershare</v>
      </c>
      <c r="J1961" t="str">
        <f>"Intelligence led projects Miscellaneous Expenses Supplies And Services COVID19 - outbreak management Public Health"</f>
        <v>Intelligence led projects Miscellaneous Expenses Supplies And Services COVID19 - outbreak management Public Health</v>
      </c>
    </row>
    <row r="1962" spans="1:10" x14ac:dyDescent="0.35">
      <c r="A1962" t="str">
        <f t="shared" si="337"/>
        <v>JAN</v>
      </c>
      <c r="B1962" t="str">
        <f t="shared" si="338"/>
        <v>21</v>
      </c>
      <c r="C1962" t="str">
        <f t="shared" si="339"/>
        <v>2020/21</v>
      </c>
      <c r="D1962" t="str">
        <f>"CE PH 014343"</f>
        <v>CE PH 014343</v>
      </c>
      <c r="E1962" t="str">
        <f t="shared" si="340"/>
        <v>CE</v>
      </c>
      <c r="F1962" t="s">
        <v>23</v>
      </c>
      <c r="G1962" t="s">
        <v>24</v>
      </c>
      <c r="H1962">
        <v>8002.74</v>
      </c>
      <c r="I1962" t="str">
        <f>"Locala Community Partnerships CIC"</f>
        <v>Locala Community Partnerships CIC</v>
      </c>
      <c r="J1962" t="str">
        <f>"Locala contract Private Contractors Agency And Contracted Services COVID19 - outbreak management Public Health"</f>
        <v>Locala contract Private Contractors Agency And Contracted Services COVID19 - outbreak management Public Health</v>
      </c>
    </row>
    <row r="1963" spans="1:10" x14ac:dyDescent="0.35">
      <c r="A1963" t="str">
        <f t="shared" si="337"/>
        <v>JAN</v>
      </c>
      <c r="B1963" t="str">
        <f t="shared" si="338"/>
        <v>21</v>
      </c>
      <c r="C1963" t="str">
        <f t="shared" si="339"/>
        <v>2020/21</v>
      </c>
      <c r="D1963" t="str">
        <f>"CE PH 014349"</f>
        <v>CE PH 014349</v>
      </c>
      <c r="E1963" t="str">
        <f t="shared" si="340"/>
        <v>CE</v>
      </c>
      <c r="F1963" t="s">
        <v>23</v>
      </c>
      <c r="G1963" t="s">
        <v>24</v>
      </c>
      <c r="H1963">
        <v>8002.74</v>
      </c>
      <c r="I1963" t="str">
        <f>"Locala Community Partnerships CIC"</f>
        <v>Locala Community Partnerships CIC</v>
      </c>
      <c r="J1963" t="str">
        <f>"Locala contract Private Contractors Agency And Contracted Services COVID19 - outbreak management Public Health"</f>
        <v>Locala contract Private Contractors Agency And Contracted Services COVID19 - outbreak management Public Health</v>
      </c>
    </row>
    <row r="1964" spans="1:10" x14ac:dyDescent="0.35">
      <c r="A1964" t="str">
        <f t="shared" si="337"/>
        <v>JAN</v>
      </c>
      <c r="B1964" t="str">
        <f t="shared" si="338"/>
        <v>21</v>
      </c>
      <c r="C1964" t="str">
        <f t="shared" si="339"/>
        <v>2020/21</v>
      </c>
      <c r="D1964" t="str">
        <f>"CE PH 014116"</f>
        <v>CE PH 014116</v>
      </c>
      <c r="E1964" t="str">
        <f t="shared" si="340"/>
        <v>CE</v>
      </c>
      <c r="F1964" t="s">
        <v>23</v>
      </c>
      <c r="G1964" t="s">
        <v>24</v>
      </c>
      <c r="H1964">
        <v>292505.5</v>
      </c>
      <c r="I1964" t="str">
        <f>"Locala Community Partnerships CIC"</f>
        <v>Locala Community Partnerships CIC</v>
      </c>
      <c r="J1964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1965" spans="1:10" x14ac:dyDescent="0.35">
      <c r="A1965" t="str">
        <f t="shared" si="337"/>
        <v>JAN</v>
      </c>
      <c r="B1965" t="str">
        <f t="shared" si="338"/>
        <v>21</v>
      </c>
      <c r="C1965" t="str">
        <f t="shared" si="339"/>
        <v>2020/21</v>
      </c>
      <c r="D1965" t="str">
        <f>"CE PH 014096"</f>
        <v>CE PH 014096</v>
      </c>
      <c r="E1965" t="str">
        <f t="shared" si="340"/>
        <v>CE</v>
      </c>
      <c r="F1965" t="s">
        <v>23</v>
      </c>
      <c r="G1965" t="s">
        <v>24</v>
      </c>
      <c r="H1965">
        <v>22682</v>
      </c>
      <c r="I1965" t="str">
        <f>"Humankind"</f>
        <v>Humankind</v>
      </c>
      <c r="J1965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1966" spans="1:10" x14ac:dyDescent="0.35">
      <c r="A1966" t="str">
        <f t="shared" si="337"/>
        <v>JAN</v>
      </c>
      <c r="B1966" t="str">
        <f t="shared" si="338"/>
        <v>21</v>
      </c>
      <c r="C1966" t="str">
        <f t="shared" si="339"/>
        <v>2020/21</v>
      </c>
      <c r="D1966" t="str">
        <f>"CE PH 014340"</f>
        <v>CE PH 014340</v>
      </c>
      <c r="E1966" t="str">
        <f t="shared" si="340"/>
        <v>CE</v>
      </c>
      <c r="F1966" t="s">
        <v>23</v>
      </c>
      <c r="G1966" t="s">
        <v>24</v>
      </c>
      <c r="H1966">
        <v>22750</v>
      </c>
      <c r="I1966" t="str">
        <f>"The Basement Recovery Project"</f>
        <v>The Basement Recovery Project</v>
      </c>
      <c r="J1966" t="str">
        <f>"Mental Health and Addiction Miscellaneous Expenses Supplies And Services Active Staff (Sport England funded) Public Health"</f>
        <v>Mental Health and Addiction Miscellaneous Expenses Supplies And Services Active Staff (Sport England funded) Public Health</v>
      </c>
    </row>
    <row r="1967" spans="1:10" x14ac:dyDescent="0.35">
      <c r="A1967" t="str">
        <f t="shared" si="337"/>
        <v>JAN</v>
      </c>
      <c r="B1967" t="str">
        <f t="shared" si="338"/>
        <v>21</v>
      </c>
      <c r="C1967" t="str">
        <f t="shared" si="339"/>
        <v>2020/21</v>
      </c>
      <c r="D1967" t="str">
        <f>"SS FD 113782"</f>
        <v>SS FD 113782</v>
      </c>
      <c r="E1967" t="str">
        <f t="shared" si="340"/>
        <v>SS</v>
      </c>
      <c r="F1967" t="s">
        <v>25</v>
      </c>
      <c r="G1967" t="s">
        <v>22</v>
      </c>
      <c r="H1967">
        <v>189.52</v>
      </c>
      <c r="I1967" t="str">
        <f>"Carers Trust Mid Yorkshire"</f>
        <v>Carers Trust Mid Yorkshire</v>
      </c>
      <c r="J1967" t="str">
        <f t="shared" ref="J1967:J1974" si="343"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1968" spans="1:10" x14ac:dyDescent="0.35">
      <c r="A1968" t="str">
        <f t="shared" si="337"/>
        <v>JAN</v>
      </c>
      <c r="B1968" t="str">
        <f t="shared" si="338"/>
        <v>21</v>
      </c>
      <c r="C1968" t="str">
        <f t="shared" si="339"/>
        <v>2020/21</v>
      </c>
      <c r="D1968" t="str">
        <f>"SS FD 113786"</f>
        <v>SS FD 113786</v>
      </c>
      <c r="E1968" t="str">
        <f t="shared" si="340"/>
        <v>SS</v>
      </c>
      <c r="F1968" t="s">
        <v>25</v>
      </c>
      <c r="G1968" t="s">
        <v>22</v>
      </c>
      <c r="H1968">
        <v>1558.2</v>
      </c>
      <c r="I1968" t="str">
        <f>"Helping Hands (HX)"</f>
        <v>Helping Hands (HX)</v>
      </c>
      <c r="J1968" t="str">
        <f t="shared" si="343"/>
        <v>Flexible Day Care - Voluntary Associations Voluntary Associations Agency And Contracted Services Purchased Day Opportunities Learning Disabiliti</v>
      </c>
    </row>
    <row r="1969" spans="1:10" x14ac:dyDescent="0.35">
      <c r="A1969" t="str">
        <f t="shared" si="337"/>
        <v>JAN</v>
      </c>
      <c r="B1969" t="str">
        <f t="shared" si="338"/>
        <v>21</v>
      </c>
      <c r="C1969" t="str">
        <f t="shared" si="339"/>
        <v>2020/21</v>
      </c>
      <c r="D1969" t="str">
        <f>"SS FD 113790"</f>
        <v>SS FD 113790</v>
      </c>
      <c r="E1969" t="str">
        <f t="shared" si="340"/>
        <v>SS</v>
      </c>
      <c r="F1969" t="s">
        <v>25</v>
      </c>
      <c r="G1969" t="s">
        <v>22</v>
      </c>
      <c r="H1969">
        <v>3724.47</v>
      </c>
      <c r="I1969" t="str">
        <f>"The Hive (Halifax) Ltd"</f>
        <v>The Hive (Halifax) Ltd</v>
      </c>
      <c r="J1969" t="str">
        <f t="shared" si="343"/>
        <v>Flexible Day Care - Voluntary Associations Voluntary Associations Agency And Contracted Services Purchased Day Opportunities Learning Disabiliti</v>
      </c>
    </row>
    <row r="1970" spans="1:10" x14ac:dyDescent="0.35">
      <c r="A1970" t="str">
        <f t="shared" si="337"/>
        <v>JAN</v>
      </c>
      <c r="B1970" t="str">
        <f t="shared" si="338"/>
        <v>21</v>
      </c>
      <c r="C1970" t="str">
        <f t="shared" si="339"/>
        <v>2020/21</v>
      </c>
      <c r="D1970" t="str">
        <f>"SS FD 113790"</f>
        <v>SS FD 113790</v>
      </c>
      <c r="E1970" t="str">
        <f t="shared" si="340"/>
        <v>SS</v>
      </c>
      <c r="F1970" t="s">
        <v>25</v>
      </c>
      <c r="G1970" t="s">
        <v>22</v>
      </c>
      <c r="H1970">
        <v>3947.94</v>
      </c>
      <c r="I1970" t="str">
        <f>"The Hive (Halifax) Ltd"</f>
        <v>The Hive (Halifax) Ltd</v>
      </c>
      <c r="J1970" t="str">
        <f t="shared" si="343"/>
        <v>Flexible Day Care - Voluntary Associations Voluntary Associations Agency And Contracted Services Purchased Day Opportunities Learning Disabiliti</v>
      </c>
    </row>
    <row r="1971" spans="1:10" x14ac:dyDescent="0.35">
      <c r="A1971" t="str">
        <f t="shared" ref="A1971:A2034" si="344">"JAN"</f>
        <v>JAN</v>
      </c>
      <c r="B1971" t="str">
        <f t="shared" ref="B1971:B2034" si="345">"21"</f>
        <v>21</v>
      </c>
      <c r="C1971" t="str">
        <f t="shared" si="339"/>
        <v>2020/21</v>
      </c>
      <c r="D1971" t="str">
        <f>"SS FD 113790"</f>
        <v>SS FD 113790</v>
      </c>
      <c r="E1971" t="str">
        <f t="shared" si="340"/>
        <v>SS</v>
      </c>
      <c r="F1971" t="s">
        <v>25</v>
      </c>
      <c r="G1971" t="s">
        <v>22</v>
      </c>
      <c r="H1971">
        <v>-9.42</v>
      </c>
      <c r="I1971" t="str">
        <f>"The Hive (Halifax) Ltd"</f>
        <v>The Hive (Halifax) Ltd</v>
      </c>
      <c r="J1971" t="str">
        <f t="shared" si="343"/>
        <v>Flexible Day Care - Voluntary Associations Voluntary Associations Agency And Contracted Services Purchased Day Opportunities Learning Disabiliti</v>
      </c>
    </row>
    <row r="1972" spans="1:10" x14ac:dyDescent="0.35">
      <c r="A1972" t="str">
        <f t="shared" si="344"/>
        <v>JAN</v>
      </c>
      <c r="B1972" t="str">
        <f t="shared" si="345"/>
        <v>21</v>
      </c>
      <c r="C1972" t="str">
        <f t="shared" si="339"/>
        <v>2020/21</v>
      </c>
      <c r="D1972" t="str">
        <f>"SS FD 113780"</f>
        <v>SS FD 113780</v>
      </c>
      <c r="E1972" t="str">
        <f t="shared" si="340"/>
        <v>SS</v>
      </c>
      <c r="F1972" t="s">
        <v>25</v>
      </c>
      <c r="G1972" t="s">
        <v>22</v>
      </c>
      <c r="H1972">
        <v>86262.41</v>
      </c>
      <c r="I1972" t="str">
        <f>"The Next Step Trust"</f>
        <v>The Next Step Trust</v>
      </c>
      <c r="J1972" t="str">
        <f t="shared" si="343"/>
        <v>Flexible Day Care - Voluntary Associations Voluntary Associations Agency And Contracted Services Purchased Day Opportunities Learning Disabiliti</v>
      </c>
    </row>
    <row r="1973" spans="1:10" x14ac:dyDescent="0.35">
      <c r="A1973" t="str">
        <f t="shared" si="344"/>
        <v>JAN</v>
      </c>
      <c r="B1973" t="str">
        <f t="shared" si="345"/>
        <v>21</v>
      </c>
      <c r="C1973" t="str">
        <f t="shared" si="339"/>
        <v>2020/21</v>
      </c>
      <c r="D1973" t="str">
        <f>"SS FD 113780"</f>
        <v>SS FD 113780</v>
      </c>
      <c r="E1973" t="str">
        <f t="shared" si="340"/>
        <v>SS</v>
      </c>
      <c r="F1973" t="s">
        <v>25</v>
      </c>
      <c r="G1973" t="s">
        <v>22</v>
      </c>
      <c r="H1973">
        <v>73852.899999999994</v>
      </c>
      <c r="I1973" t="str">
        <f>"The Next Step Trust"</f>
        <v>The Next Step Trust</v>
      </c>
      <c r="J1973" t="str">
        <f t="shared" si="343"/>
        <v>Flexible Day Care - Voluntary Associations Voluntary Associations Agency And Contracted Services Purchased Day Opportunities Learning Disabiliti</v>
      </c>
    </row>
    <row r="1974" spans="1:10" x14ac:dyDescent="0.35">
      <c r="A1974" t="str">
        <f t="shared" si="344"/>
        <v>JAN</v>
      </c>
      <c r="B1974" t="str">
        <f t="shared" si="345"/>
        <v>21</v>
      </c>
      <c r="C1974" t="str">
        <f t="shared" si="339"/>
        <v>2020/21</v>
      </c>
      <c r="D1974" t="str">
        <f>"SS FD 113789"</f>
        <v>SS FD 113789</v>
      </c>
      <c r="E1974" t="str">
        <f t="shared" si="340"/>
        <v>SS</v>
      </c>
      <c r="F1974" t="s">
        <v>25</v>
      </c>
      <c r="G1974" t="s">
        <v>22</v>
      </c>
      <c r="H1974">
        <v>31136.85</v>
      </c>
      <c r="I1974" t="str">
        <f>"Pennine Magpie"</f>
        <v>Pennine Magpie</v>
      </c>
      <c r="J1974" t="str">
        <f t="shared" si="343"/>
        <v>Flexible Day Care - Voluntary Associations Voluntary Associations Agency And Contracted Services Purchased Day Opportunities Learning Disabiliti</v>
      </c>
    </row>
    <row r="1975" spans="1:10" x14ac:dyDescent="0.35">
      <c r="A1975" t="str">
        <f t="shared" si="344"/>
        <v>JAN</v>
      </c>
      <c r="B1975" t="str">
        <f t="shared" si="345"/>
        <v>21</v>
      </c>
      <c r="C1975" t="str">
        <f t="shared" si="339"/>
        <v>2020/21</v>
      </c>
      <c r="D1975" t="str">
        <f>"SS FD 114303"</f>
        <v>SS FD 114303</v>
      </c>
      <c r="E1975" t="str">
        <f t="shared" si="340"/>
        <v>SS</v>
      </c>
      <c r="F1975" t="s">
        <v>25</v>
      </c>
      <c r="G1975" t="s">
        <v>22</v>
      </c>
      <c r="H1975">
        <v>14099.16</v>
      </c>
      <c r="I1975" t="str">
        <f>"The Mayfield Trust"</f>
        <v>The Mayfield Trust</v>
      </c>
      <c r="J1975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1976" spans="1:10" x14ac:dyDescent="0.35">
      <c r="A1976" t="str">
        <f t="shared" si="344"/>
        <v>JAN</v>
      </c>
      <c r="B1976" t="str">
        <f t="shared" si="345"/>
        <v>21</v>
      </c>
      <c r="C1976" t="str">
        <f t="shared" si="339"/>
        <v>2020/21</v>
      </c>
      <c r="D1976" t="str">
        <f>"SS RE 116898"</f>
        <v>SS RE 116898</v>
      </c>
      <c r="E1976" t="str">
        <f t="shared" si="340"/>
        <v>SS</v>
      </c>
      <c r="F1976" t="s">
        <v>25</v>
      </c>
      <c r="G1976" t="s">
        <v>22</v>
      </c>
      <c r="H1976">
        <v>142.19999999999999</v>
      </c>
      <c r="I1976" t="str">
        <f>"Community Transport Calderdale Ltd"</f>
        <v>Community Transport Calderdale Ltd</v>
      </c>
      <c r="J1976" t="str">
        <f>"Expenses - Mental Health Respite Private Contractors Agency And Contracted Services Shared Lives Adult Health &amp; Social Care"</f>
        <v>Expenses - Mental Health Respite Private Contractors Agency And Contracted Services Shared Lives Adult Health &amp; Social Care</v>
      </c>
    </row>
    <row r="1977" spans="1:10" x14ac:dyDescent="0.35">
      <c r="A1977" t="str">
        <f t="shared" si="344"/>
        <v>JAN</v>
      </c>
      <c r="B1977" t="str">
        <f t="shared" si="345"/>
        <v>21</v>
      </c>
      <c r="C1977" t="str">
        <f t="shared" si="339"/>
        <v>2020/21</v>
      </c>
      <c r="D1977" t="str">
        <f>"HS TA 017028"</f>
        <v>HS TA 017028</v>
      </c>
      <c r="E1977" t="str">
        <f t="shared" si="340"/>
        <v>HS</v>
      </c>
      <c r="F1977" t="s">
        <v>26</v>
      </c>
      <c r="G1977" t="s">
        <v>18</v>
      </c>
      <c r="H1977">
        <v>145</v>
      </c>
      <c r="I1977" t="str">
        <f>"Calder Valley Transport"</f>
        <v>Calder Valley Transport</v>
      </c>
      <c r="J1977" t="str">
        <f>"waste removal Cleaning And Domestic Supplies Premises And Related Expenses Leasehold Flats Housing Services"</f>
        <v>waste removal Cleaning And Domestic Supplies Premises And Related Expenses Leasehold Flats Housing Services</v>
      </c>
    </row>
    <row r="1978" spans="1:10" x14ac:dyDescent="0.35">
      <c r="A1978" t="str">
        <f t="shared" si="344"/>
        <v>JAN</v>
      </c>
      <c r="B1978" t="str">
        <f t="shared" si="345"/>
        <v>21</v>
      </c>
      <c r="C1978" t="str">
        <f t="shared" si="339"/>
        <v>2020/21</v>
      </c>
      <c r="D1978" t="str">
        <f>"HS EM 016947"</f>
        <v>HS EM 016947</v>
      </c>
      <c r="E1978" t="str">
        <f t="shared" si="340"/>
        <v>HS</v>
      </c>
      <c r="F1978" t="s">
        <v>26</v>
      </c>
      <c r="G1978" t="s">
        <v>18</v>
      </c>
      <c r="H1978">
        <v>169</v>
      </c>
      <c r="I1978" t="str">
        <f>"APSE"</f>
        <v>APSE</v>
      </c>
      <c r="J1978" t="str">
        <f>"Calder Future - Transfer of Income Rec'd Miscellaneous Expenses Supplies And Services Environmental Management Team Housing Services"</f>
        <v>Calder Future - Transfer of Income Rec'd Miscellaneous Expenses Supplies And Services Environmental Management Team Housing Services</v>
      </c>
    </row>
    <row r="1979" spans="1:10" x14ac:dyDescent="0.35">
      <c r="A1979" t="str">
        <f t="shared" si="344"/>
        <v>JAN</v>
      </c>
      <c r="B1979" t="str">
        <f t="shared" si="345"/>
        <v>21</v>
      </c>
      <c r="C1979" t="str">
        <f t="shared" si="339"/>
        <v>2020/21</v>
      </c>
      <c r="D1979" t="str">
        <f>"HS TA 016870"</f>
        <v>HS TA 016870</v>
      </c>
      <c r="E1979" t="str">
        <f t="shared" si="340"/>
        <v>HS</v>
      </c>
      <c r="F1979" t="s">
        <v>26</v>
      </c>
      <c r="G1979" t="s">
        <v>18</v>
      </c>
      <c r="H1979">
        <v>110</v>
      </c>
      <c r="I1979" t="str">
        <f t="shared" ref="I1979:I1988" si="346">"Sure Start North Halifax"</f>
        <v>Sure Start North Halifax</v>
      </c>
      <c r="J1979" t="str">
        <f t="shared" ref="J1979:J1988" si="347"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1980" spans="1:10" x14ac:dyDescent="0.35">
      <c r="A1980" t="str">
        <f t="shared" si="344"/>
        <v>JAN</v>
      </c>
      <c r="B1980" t="str">
        <f t="shared" si="345"/>
        <v>21</v>
      </c>
      <c r="C1980" t="str">
        <f t="shared" si="339"/>
        <v>2020/21</v>
      </c>
      <c r="D1980" t="str">
        <f>"HS TA 016872"</f>
        <v>HS TA 016872</v>
      </c>
      <c r="E1980" t="str">
        <f t="shared" si="340"/>
        <v>HS</v>
      </c>
      <c r="F1980" t="s">
        <v>26</v>
      </c>
      <c r="G1980" t="s">
        <v>18</v>
      </c>
      <c r="H1980">
        <v>440</v>
      </c>
      <c r="I1980" t="str">
        <f t="shared" si="346"/>
        <v>Sure Start North Halifax</v>
      </c>
      <c r="J1980" t="str">
        <f t="shared" si="347"/>
        <v>Childcare expenses Equipment Furniture And Materials Supplies And Services Syrian settlement account Housing Services</v>
      </c>
    </row>
    <row r="1981" spans="1:10" x14ac:dyDescent="0.35">
      <c r="A1981" t="str">
        <f t="shared" si="344"/>
        <v>JAN</v>
      </c>
      <c r="B1981" t="str">
        <f t="shared" si="345"/>
        <v>21</v>
      </c>
      <c r="C1981" t="str">
        <f t="shared" si="339"/>
        <v>2020/21</v>
      </c>
      <c r="D1981" t="str">
        <f>"HS TA 016871"</f>
        <v>HS TA 016871</v>
      </c>
      <c r="E1981" t="str">
        <f t="shared" si="340"/>
        <v>HS</v>
      </c>
      <c r="F1981" t="s">
        <v>26</v>
      </c>
      <c r="G1981" t="s">
        <v>18</v>
      </c>
      <c r="H1981">
        <v>440</v>
      </c>
      <c r="I1981" t="str">
        <f t="shared" si="346"/>
        <v>Sure Start North Halifax</v>
      </c>
      <c r="J1981" t="str">
        <f t="shared" si="347"/>
        <v>Childcare expenses Equipment Furniture And Materials Supplies And Services Syrian settlement account Housing Services</v>
      </c>
    </row>
    <row r="1982" spans="1:10" x14ac:dyDescent="0.35">
      <c r="A1982" t="str">
        <f t="shared" si="344"/>
        <v>JAN</v>
      </c>
      <c r="B1982" t="str">
        <f t="shared" si="345"/>
        <v>21</v>
      </c>
      <c r="C1982" t="str">
        <f t="shared" si="339"/>
        <v>2020/21</v>
      </c>
      <c r="D1982" t="str">
        <f>"HS TA 016869"</f>
        <v>HS TA 016869</v>
      </c>
      <c r="E1982" t="str">
        <f t="shared" si="340"/>
        <v>HS</v>
      </c>
      <c r="F1982" t="s">
        <v>26</v>
      </c>
      <c r="G1982" t="s">
        <v>18</v>
      </c>
      <c r="H1982">
        <v>110</v>
      </c>
      <c r="I1982" t="str">
        <f t="shared" si="346"/>
        <v>Sure Start North Halifax</v>
      </c>
      <c r="J1982" t="str">
        <f t="shared" si="347"/>
        <v>Childcare expenses Equipment Furniture And Materials Supplies And Services Syrian settlement account Housing Services</v>
      </c>
    </row>
    <row r="1983" spans="1:10" x14ac:dyDescent="0.35">
      <c r="A1983" t="str">
        <f t="shared" si="344"/>
        <v>JAN</v>
      </c>
      <c r="B1983" t="str">
        <f t="shared" si="345"/>
        <v>21</v>
      </c>
      <c r="C1983" t="str">
        <f t="shared" si="339"/>
        <v>2020/21</v>
      </c>
      <c r="D1983" t="str">
        <f>"HS TA 016868"</f>
        <v>HS TA 016868</v>
      </c>
      <c r="E1983" t="str">
        <f t="shared" si="340"/>
        <v>HS</v>
      </c>
      <c r="F1983" t="s">
        <v>26</v>
      </c>
      <c r="G1983" t="s">
        <v>18</v>
      </c>
      <c r="H1983">
        <v>440</v>
      </c>
      <c r="I1983" t="str">
        <f t="shared" si="346"/>
        <v>Sure Start North Halifax</v>
      </c>
      <c r="J1983" t="str">
        <f t="shared" si="347"/>
        <v>Childcare expenses Equipment Furniture And Materials Supplies And Services Syrian settlement account Housing Services</v>
      </c>
    </row>
    <row r="1984" spans="1:10" x14ac:dyDescent="0.35">
      <c r="A1984" t="str">
        <f t="shared" si="344"/>
        <v>JAN</v>
      </c>
      <c r="B1984" t="str">
        <f t="shared" si="345"/>
        <v>21</v>
      </c>
      <c r="C1984" t="str">
        <f t="shared" si="339"/>
        <v>2020/21</v>
      </c>
      <c r="D1984" t="str">
        <f>"HS TA 016872"</f>
        <v>HS TA 016872</v>
      </c>
      <c r="E1984" t="str">
        <f t="shared" si="340"/>
        <v>HS</v>
      </c>
      <c r="F1984" t="s">
        <v>26</v>
      </c>
      <c r="G1984" t="s">
        <v>18</v>
      </c>
      <c r="H1984">
        <v>330</v>
      </c>
      <c r="I1984" t="str">
        <f t="shared" si="346"/>
        <v>Sure Start North Halifax</v>
      </c>
      <c r="J1984" t="str">
        <f t="shared" si="347"/>
        <v>Childcare expenses Equipment Furniture And Materials Supplies And Services Syrian settlement account Housing Services</v>
      </c>
    </row>
    <row r="1985" spans="1:10" x14ac:dyDescent="0.35">
      <c r="A1985" t="str">
        <f t="shared" si="344"/>
        <v>JAN</v>
      </c>
      <c r="B1985" t="str">
        <f t="shared" si="345"/>
        <v>21</v>
      </c>
      <c r="C1985" t="str">
        <f t="shared" si="339"/>
        <v>2020/21</v>
      </c>
      <c r="D1985" t="str">
        <f>"HS TA 016871"</f>
        <v>HS TA 016871</v>
      </c>
      <c r="E1985" t="str">
        <f t="shared" si="340"/>
        <v>HS</v>
      </c>
      <c r="F1985" t="s">
        <v>26</v>
      </c>
      <c r="G1985" t="s">
        <v>18</v>
      </c>
      <c r="H1985">
        <v>330</v>
      </c>
      <c r="I1985" t="str">
        <f t="shared" si="346"/>
        <v>Sure Start North Halifax</v>
      </c>
      <c r="J1985" t="str">
        <f t="shared" si="347"/>
        <v>Childcare expenses Equipment Furniture And Materials Supplies And Services Syrian settlement account Housing Services</v>
      </c>
    </row>
    <row r="1986" spans="1:10" x14ac:dyDescent="0.35">
      <c r="A1986" t="str">
        <f t="shared" si="344"/>
        <v>JAN</v>
      </c>
      <c r="B1986" t="str">
        <f t="shared" si="345"/>
        <v>21</v>
      </c>
      <c r="C1986" t="str">
        <f t="shared" ref="C1986:C2049" si="348">"2020/21"</f>
        <v>2020/21</v>
      </c>
      <c r="D1986" t="str">
        <f>"HS TA 016869"</f>
        <v>HS TA 016869</v>
      </c>
      <c r="E1986" t="str">
        <f t="shared" ref="E1986:E2049" si="349">LEFT(D1986,2)</f>
        <v>HS</v>
      </c>
      <c r="F1986" t="s">
        <v>26</v>
      </c>
      <c r="G1986" t="s">
        <v>18</v>
      </c>
      <c r="H1986">
        <v>82.5</v>
      </c>
      <c r="I1986" t="str">
        <f t="shared" si="346"/>
        <v>Sure Start North Halifax</v>
      </c>
      <c r="J1986" t="str">
        <f t="shared" si="347"/>
        <v>Childcare expenses Equipment Furniture And Materials Supplies And Services Syrian settlement account Housing Services</v>
      </c>
    </row>
    <row r="1987" spans="1:10" x14ac:dyDescent="0.35">
      <c r="A1987" t="str">
        <f t="shared" si="344"/>
        <v>JAN</v>
      </c>
      <c r="B1987" t="str">
        <f t="shared" si="345"/>
        <v>21</v>
      </c>
      <c r="C1987" t="str">
        <f t="shared" si="348"/>
        <v>2020/21</v>
      </c>
      <c r="D1987" t="str">
        <f>"HS TA 016870"</f>
        <v>HS TA 016870</v>
      </c>
      <c r="E1987" t="str">
        <f t="shared" si="349"/>
        <v>HS</v>
      </c>
      <c r="F1987" t="s">
        <v>26</v>
      </c>
      <c r="G1987" t="s">
        <v>18</v>
      </c>
      <c r="H1987">
        <v>82.5</v>
      </c>
      <c r="I1987" t="str">
        <f t="shared" si="346"/>
        <v>Sure Start North Halifax</v>
      </c>
      <c r="J1987" t="str">
        <f t="shared" si="347"/>
        <v>Childcare expenses Equipment Furniture And Materials Supplies And Services Syrian settlement account Housing Services</v>
      </c>
    </row>
    <row r="1988" spans="1:10" x14ac:dyDescent="0.35">
      <c r="A1988" t="str">
        <f t="shared" si="344"/>
        <v>JAN</v>
      </c>
      <c r="B1988" t="str">
        <f t="shared" si="345"/>
        <v>21</v>
      </c>
      <c r="C1988" t="str">
        <f t="shared" si="348"/>
        <v>2020/21</v>
      </c>
      <c r="D1988" t="str">
        <f>"HS TA 016868"</f>
        <v>HS TA 016868</v>
      </c>
      <c r="E1988" t="str">
        <f t="shared" si="349"/>
        <v>HS</v>
      </c>
      <c r="F1988" t="s">
        <v>26</v>
      </c>
      <c r="G1988" t="s">
        <v>18</v>
      </c>
      <c r="H1988">
        <v>330</v>
      </c>
      <c r="I1988" t="str">
        <f t="shared" si="346"/>
        <v>Sure Start North Halifax</v>
      </c>
      <c r="J1988" t="str">
        <f t="shared" si="347"/>
        <v>Childcare expenses Equipment Furniture And Materials Supplies And Services Syrian settlement account Housing Services</v>
      </c>
    </row>
    <row r="1989" spans="1:10" x14ac:dyDescent="0.35">
      <c r="A1989" t="str">
        <f t="shared" si="344"/>
        <v>JAN</v>
      </c>
      <c r="B1989" t="str">
        <f t="shared" si="345"/>
        <v>21</v>
      </c>
      <c r="C1989" t="str">
        <f t="shared" si="348"/>
        <v>2020/21</v>
      </c>
      <c r="D1989" t="str">
        <f>"CA FM 006836"</f>
        <v>CA FM 006836</v>
      </c>
      <c r="E1989" t="str">
        <f t="shared" si="349"/>
        <v>CA</v>
      </c>
      <c r="F1989" t="s">
        <v>27</v>
      </c>
      <c r="G1989" t="s">
        <v>18</v>
      </c>
      <c r="H1989">
        <v>125</v>
      </c>
      <c r="I1989" t="str">
        <f>"ACES"</f>
        <v>ACES</v>
      </c>
      <c r="J1989" t="str">
        <f>"Subsriptions - General Grants And Subscriptions Supplies And Services Corporate Asset &amp; Facilities Management Team Corporate Asset and Facilitie"</f>
        <v>Subsriptions - General Grants And Subscriptions Supplies And Services Corporate Asset &amp; Facilities Management Team Corporate Asset and Facilitie</v>
      </c>
    </row>
    <row r="1990" spans="1:10" x14ac:dyDescent="0.35">
      <c r="A1990" t="str">
        <f t="shared" si="344"/>
        <v>JAN</v>
      </c>
      <c r="B1990" t="str">
        <f t="shared" si="345"/>
        <v>21</v>
      </c>
      <c r="C1990" t="str">
        <f t="shared" si="348"/>
        <v>2020/21</v>
      </c>
      <c r="D1990" t="str">
        <f>"CA FM 006836"</f>
        <v>CA FM 006836</v>
      </c>
      <c r="E1990" t="str">
        <f t="shared" si="349"/>
        <v>CA</v>
      </c>
      <c r="F1990" t="s">
        <v>27</v>
      </c>
      <c r="G1990" t="s">
        <v>18</v>
      </c>
      <c r="H1990">
        <v>80</v>
      </c>
      <c r="I1990" t="str">
        <f>"ACES"</f>
        <v>ACES</v>
      </c>
      <c r="J1990" t="str">
        <f>"Subsriptions - General Grants And Subscriptions Supplies And Services Corporate Asset &amp; Facilities Management Team Corporate Asset and Facilitie"</f>
        <v>Subsriptions - General Grants And Subscriptions Supplies And Services Corporate Asset &amp; Facilities Management Team Corporate Asset and Facilitie</v>
      </c>
    </row>
    <row r="1991" spans="1:10" x14ac:dyDescent="0.35">
      <c r="A1991" t="str">
        <f t="shared" si="344"/>
        <v>JAN</v>
      </c>
      <c r="B1991" t="str">
        <f t="shared" si="345"/>
        <v>21</v>
      </c>
      <c r="C1991" t="str">
        <f t="shared" si="348"/>
        <v>2020/21</v>
      </c>
      <c r="D1991" t="str">
        <f>"CA FM 006348"</f>
        <v>CA FM 006348</v>
      </c>
      <c r="E1991" t="str">
        <f t="shared" si="349"/>
        <v>CA</v>
      </c>
      <c r="F1991" t="s">
        <v>27</v>
      </c>
      <c r="G1991" t="s">
        <v>18</v>
      </c>
      <c r="H1991">
        <v>3750</v>
      </c>
      <c r="I1991" t="str">
        <f>"Calderdale Industrial Museum Association"</f>
        <v>Calderdale Industrial Museum Association</v>
      </c>
      <c r="J1991" t="str">
        <f>"Community asset transfer - grant to Calderdale Industrial Museum Assoc Transfer Payments - School Children And Students Transfer Payments Miscel"</f>
        <v>Community asset transfer - grant to Calderdale Industrial Museum Assoc Transfer Payments - School Children And Students Transfer Payments Miscel</v>
      </c>
    </row>
    <row r="1992" spans="1:10" x14ac:dyDescent="0.35">
      <c r="A1992" t="str">
        <f t="shared" si="344"/>
        <v>JAN</v>
      </c>
      <c r="B1992" t="str">
        <f t="shared" si="345"/>
        <v>21</v>
      </c>
      <c r="C1992" t="str">
        <f t="shared" si="348"/>
        <v>2020/21</v>
      </c>
      <c r="D1992" t="str">
        <f>"CA CP 006868"</f>
        <v>CA CP 006868</v>
      </c>
      <c r="E1992" t="str">
        <f t="shared" si="349"/>
        <v>CA</v>
      </c>
      <c r="F1992" t="s">
        <v>36</v>
      </c>
      <c r="G1992" t="s">
        <v>18</v>
      </c>
      <c r="H1992">
        <v>300</v>
      </c>
      <c r="I1992" t="str">
        <f>"Eureka"</f>
        <v>Eureka</v>
      </c>
      <c r="J1992" t="str">
        <f>"Other Fees Station Gateway TCF Funded programme  West Yorkshire Combined Authority Programmes Highways &amp; Engineering Services - Capital"</f>
        <v>Other Fees Station Gateway TCF Funded programme  West Yorkshire Combined Authority Programmes Highways &amp; Engineering Services - Capital</v>
      </c>
    </row>
    <row r="1993" spans="1:10" x14ac:dyDescent="0.35">
      <c r="A1993" t="str">
        <f t="shared" si="344"/>
        <v>JAN</v>
      </c>
      <c r="B1993" t="str">
        <f t="shared" si="345"/>
        <v>21</v>
      </c>
      <c r="C1993" t="str">
        <f t="shared" si="348"/>
        <v>2020/21</v>
      </c>
      <c r="E1993" t="str">
        <f t="shared" si="349"/>
        <v/>
      </c>
      <c r="F1993" t="s">
        <v>36</v>
      </c>
      <c r="G1993" t="s">
        <v>18</v>
      </c>
      <c r="H1993">
        <v>29000</v>
      </c>
      <c r="I1993" t="str">
        <f>"Canal &amp; River Trust (British Waterways)"</f>
        <v>Canal &amp; River Trust (British Waterways)</v>
      </c>
      <c r="J1993" t="str">
        <f>"Rochdale Canal Ph 2 Construction &amp; Conversion General Package Programme Package Programme Highways &amp; Engineering Services - Capital"</f>
        <v>Rochdale Canal Ph 2 Construction &amp; Conversion General Package Programme Package Programme Highways &amp; Engineering Services - Capital</v>
      </c>
    </row>
    <row r="1994" spans="1:10" x14ac:dyDescent="0.35">
      <c r="A1994" t="str">
        <f t="shared" si="344"/>
        <v>JAN</v>
      </c>
      <c r="B1994" t="str">
        <f t="shared" si="345"/>
        <v>21</v>
      </c>
      <c r="C1994" t="str">
        <f t="shared" si="348"/>
        <v>2020/21</v>
      </c>
      <c r="D1994" t="str">
        <f>"EG CE 065962"</f>
        <v>EG CE 065962</v>
      </c>
      <c r="E1994" t="str">
        <f t="shared" si="349"/>
        <v>EG</v>
      </c>
      <c r="F1994" t="s">
        <v>36</v>
      </c>
      <c r="G1994" t="s">
        <v>18</v>
      </c>
      <c r="H1994">
        <v>1526.32</v>
      </c>
      <c r="I1994" t="str">
        <f>"Canal &amp; River Trust (British Waterways)"</f>
        <v>Canal &amp; River Trust (British Waterways)</v>
      </c>
      <c r="J1994" t="str">
        <f>"Copley Footbridge repairs Other Fees 14/03 Cap Rev - Structures Employees Highway Maintenance Capital Programme Highways &amp; Engineering Services"</f>
        <v>Copley Footbridge repairs Other Fees 14/03 Cap Rev - Structures Employees Highway Maintenance Capital Programme Highways &amp; Engineering Services</v>
      </c>
    </row>
    <row r="1995" spans="1:10" x14ac:dyDescent="0.35">
      <c r="A1995" t="str">
        <f t="shared" si="344"/>
        <v>JAN</v>
      </c>
      <c r="B1995" t="str">
        <f t="shared" si="345"/>
        <v>21</v>
      </c>
      <c r="C1995" t="str">
        <f t="shared" si="348"/>
        <v>2020/21</v>
      </c>
      <c r="D1995" t="str">
        <f>"SC SU 218276"</f>
        <v>SC SU 218276</v>
      </c>
      <c r="E1995" t="str">
        <f t="shared" si="349"/>
        <v>SC</v>
      </c>
      <c r="F1995" t="s">
        <v>29</v>
      </c>
      <c r="G1995" t="s">
        <v>30</v>
      </c>
      <c r="H1995">
        <v>95</v>
      </c>
      <c r="I1995" t="str">
        <f>"Seashell Trust"</f>
        <v>Seashell Trust</v>
      </c>
      <c r="J1995" t="str">
        <f>"Sensory Team resources Equipment Furniture And Materials Supplies And Services Specialist Inclusion Service (DSG) Children and Young People's Se"</f>
        <v>Sensory Team resources Equipment Furniture And Materials Supplies And Services Specialist Inclusion Service (DSG) Children and Young People's Se</v>
      </c>
    </row>
    <row r="1996" spans="1:10" x14ac:dyDescent="0.35">
      <c r="A1996" t="str">
        <f t="shared" si="344"/>
        <v>JAN</v>
      </c>
      <c r="B1996" t="str">
        <f t="shared" si="345"/>
        <v>21</v>
      </c>
      <c r="C1996" t="str">
        <f t="shared" si="348"/>
        <v>2020/21</v>
      </c>
      <c r="D1996" t="str">
        <f>"SC SU 218331"</f>
        <v>SC SU 218331</v>
      </c>
      <c r="E1996" t="str">
        <f t="shared" si="349"/>
        <v>SC</v>
      </c>
      <c r="F1996" t="s">
        <v>29</v>
      </c>
      <c r="G1996" t="s">
        <v>30</v>
      </c>
      <c r="H1996">
        <v>1880</v>
      </c>
      <c r="I1996" t="str">
        <f>"National Autistic Society"</f>
        <v>National Autistic Society</v>
      </c>
      <c r="J1996" t="str">
        <f>"ASD Team resources Equipment Furniture And Materials Supplies And Services Specialist Inclusion Service (DSG) Children and Young People's Serv -"</f>
        <v>ASD Team resources Equipment Furniture And Materials Supplies And Services Specialist Inclusion Service (DSG) Children and Young People's Serv -</v>
      </c>
    </row>
    <row r="1997" spans="1:10" x14ac:dyDescent="0.35">
      <c r="A1997" t="str">
        <f t="shared" si="344"/>
        <v>JAN</v>
      </c>
      <c r="B1997" t="str">
        <f t="shared" si="345"/>
        <v>21</v>
      </c>
      <c r="C1997" t="str">
        <f t="shared" si="348"/>
        <v>2020/21</v>
      </c>
      <c r="D1997" t="str">
        <f>"SC SU 218276"</f>
        <v>SC SU 218276</v>
      </c>
      <c r="E1997" t="str">
        <f t="shared" si="349"/>
        <v>SC</v>
      </c>
      <c r="F1997" t="s">
        <v>29</v>
      </c>
      <c r="G1997" t="s">
        <v>30</v>
      </c>
      <c r="H1997">
        <v>95</v>
      </c>
      <c r="I1997" t="str">
        <f>"Seashell Trust"</f>
        <v>Seashell Trust</v>
      </c>
      <c r="J1997" t="str">
        <f>"ASD Team resources Equipment Furniture And Materials Supplies And Services Specialist Inclusion Service (DSG) Children and Young People's Serv -"</f>
        <v>ASD Team resources Equipment Furniture And Materials Supplies And Services Specialist Inclusion Service (DSG) Children and Young People's Serv -</v>
      </c>
    </row>
    <row r="1998" spans="1:10" x14ac:dyDescent="0.35">
      <c r="A1998" t="str">
        <f t="shared" si="344"/>
        <v>JAN</v>
      </c>
      <c r="B1998" t="str">
        <f t="shared" si="345"/>
        <v>21</v>
      </c>
      <c r="C1998" t="str">
        <f t="shared" si="348"/>
        <v>2020/21</v>
      </c>
      <c r="D1998" t="str">
        <f>"SC YS 215908"</f>
        <v>SC YS 215908</v>
      </c>
      <c r="E1998" t="str">
        <f t="shared" si="349"/>
        <v>SC</v>
      </c>
      <c r="F1998" t="s">
        <v>31</v>
      </c>
      <c r="G1998" t="s">
        <v>30</v>
      </c>
      <c r="H1998">
        <v>4125</v>
      </c>
      <c r="I1998" t="str">
        <f>"North Halifax Youth &amp; Community Group"</f>
        <v>North Halifax Youth &amp; Community Group</v>
      </c>
      <c r="J1998" t="str">
        <f>"Programme Costs Miscellaneous Expenses Supplies And Services North Halifax Youth &amp; Community Group Schools and Children's Services - Non-School"</f>
        <v>Programme Costs Miscellaneous Expenses Supplies And Services North Halifax Youth &amp; Community Group Schools and Children's Services - Non-School</v>
      </c>
    </row>
    <row r="1999" spans="1:10" x14ac:dyDescent="0.35">
      <c r="A1999" t="str">
        <f t="shared" si="344"/>
        <v>JAN</v>
      </c>
      <c r="B1999" t="str">
        <f t="shared" si="345"/>
        <v>21</v>
      </c>
      <c r="C1999" t="str">
        <f t="shared" si="348"/>
        <v>2020/21</v>
      </c>
      <c r="D1999" t="str">
        <f>"SC YC 218256"</f>
        <v>SC YC 218256</v>
      </c>
      <c r="E1999" t="str">
        <f t="shared" si="349"/>
        <v>SC</v>
      </c>
      <c r="F1999" t="s">
        <v>31</v>
      </c>
      <c r="G1999" t="s">
        <v>30</v>
      </c>
      <c r="H1999">
        <v>199</v>
      </c>
      <c r="I1999" t="str">
        <f>"Asdan Ltd"</f>
        <v>Asdan Ltd</v>
      </c>
      <c r="J1999" t="str">
        <f>"Programme Costs Miscellaneous Expenses Supplies And Services Youth Works Schools and Children's Services - Non-School"</f>
        <v>Programme Costs Miscellaneous Expenses Supplies And Services Youth Works Schools and Children's Services - Non-School</v>
      </c>
    </row>
    <row r="2000" spans="1:10" x14ac:dyDescent="0.35">
      <c r="A2000" t="str">
        <f t="shared" si="344"/>
        <v>JAN</v>
      </c>
      <c r="B2000" t="str">
        <f t="shared" si="345"/>
        <v>21</v>
      </c>
      <c r="C2000" t="str">
        <f t="shared" si="348"/>
        <v>2020/21</v>
      </c>
      <c r="D2000" t="str">
        <f>"SC YW 218166"</f>
        <v>SC YW 218166</v>
      </c>
      <c r="E2000" t="str">
        <f t="shared" si="349"/>
        <v>SC</v>
      </c>
      <c r="F2000" t="s">
        <v>31</v>
      </c>
      <c r="G2000" t="s">
        <v>30</v>
      </c>
      <c r="H2000">
        <v>6000</v>
      </c>
      <c r="I2000" t="str">
        <f>"Project Challenge"</f>
        <v>Project Challenge</v>
      </c>
      <c r="J2000" t="str">
        <f>"Grant Payment Expenses Supplies And Services Orangebox Schools and Children's Services - Non-School"</f>
        <v>Grant Payment Expenses Supplies And Services Orangebox Schools and Children's Services - Non-School</v>
      </c>
    </row>
    <row r="2001" spans="1:10" x14ac:dyDescent="0.35">
      <c r="A2001" t="str">
        <f t="shared" si="344"/>
        <v>JAN</v>
      </c>
      <c r="B2001" t="str">
        <f t="shared" si="345"/>
        <v>21</v>
      </c>
      <c r="C2001" t="str">
        <f t="shared" si="348"/>
        <v>2020/21</v>
      </c>
      <c r="D2001" t="str">
        <f>"SC EY 218075"</f>
        <v>SC EY 218075</v>
      </c>
      <c r="E2001" t="str">
        <f t="shared" si="349"/>
        <v>SC</v>
      </c>
      <c r="F2001" t="s">
        <v>32</v>
      </c>
      <c r="G2001" t="s">
        <v>30</v>
      </c>
      <c r="H2001">
        <v>994.5</v>
      </c>
      <c r="I2001" t="str">
        <f>"Creations Community Childrens Centre"</f>
        <v>Creations Community Childrens Centre</v>
      </c>
      <c r="J2001" t="str">
        <f t="shared" ref="J2001:J2008" si="350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2002" spans="1:10" x14ac:dyDescent="0.35">
      <c r="A2002" t="str">
        <f t="shared" si="344"/>
        <v>JAN</v>
      </c>
      <c r="B2002" t="str">
        <f t="shared" si="345"/>
        <v>21</v>
      </c>
      <c r="C2002" t="str">
        <f t="shared" si="348"/>
        <v>2020/21</v>
      </c>
      <c r="D2002" t="str">
        <f>"SC EY 218136"</f>
        <v>SC EY 218136</v>
      </c>
      <c r="E2002" t="str">
        <f t="shared" si="349"/>
        <v>SC</v>
      </c>
      <c r="F2002" t="s">
        <v>32</v>
      </c>
      <c r="G2002" t="s">
        <v>30</v>
      </c>
      <c r="H2002">
        <v>1594</v>
      </c>
      <c r="I2002" t="str">
        <f>"Innovations Children's Centre"</f>
        <v>Innovations Children's Centre</v>
      </c>
      <c r="J2002" t="str">
        <f t="shared" si="350"/>
        <v>Access to Support provision Other Agency And Contracted Services Agency And Contracted Services Early Intervention Childcare Funding Childrens S</v>
      </c>
    </row>
    <row r="2003" spans="1:10" x14ac:dyDescent="0.35">
      <c r="A2003" t="str">
        <f t="shared" si="344"/>
        <v>JAN</v>
      </c>
      <c r="B2003" t="str">
        <f t="shared" si="345"/>
        <v>21</v>
      </c>
      <c r="C2003" t="str">
        <f t="shared" si="348"/>
        <v>2020/21</v>
      </c>
      <c r="D2003" t="str">
        <f>"SC EY 218080"</f>
        <v>SC EY 218080</v>
      </c>
      <c r="E2003" t="str">
        <f t="shared" si="349"/>
        <v>SC</v>
      </c>
      <c r="F2003" t="s">
        <v>32</v>
      </c>
      <c r="G2003" t="s">
        <v>30</v>
      </c>
      <c r="H2003">
        <v>1645</v>
      </c>
      <c r="I2003" t="str">
        <f>"Jubilee Children's Centre"</f>
        <v>Jubilee Children's Centre</v>
      </c>
      <c r="J2003" t="str">
        <f t="shared" si="350"/>
        <v>Access to Support provision Other Agency And Contracted Services Agency And Contracted Services Early Intervention Childcare Funding Childrens S</v>
      </c>
    </row>
    <row r="2004" spans="1:10" x14ac:dyDescent="0.35">
      <c r="A2004" t="str">
        <f t="shared" si="344"/>
        <v>JAN</v>
      </c>
      <c r="B2004" t="str">
        <f t="shared" si="345"/>
        <v>21</v>
      </c>
      <c r="C2004" t="str">
        <f t="shared" si="348"/>
        <v>2020/21</v>
      </c>
      <c r="D2004" t="str">
        <f>"SC EY 218074"</f>
        <v>SC EY 218074</v>
      </c>
      <c r="E2004" t="str">
        <f t="shared" si="349"/>
        <v>SC</v>
      </c>
      <c r="F2004" t="s">
        <v>32</v>
      </c>
      <c r="G2004" t="s">
        <v>30</v>
      </c>
      <c r="H2004">
        <v>652</v>
      </c>
      <c r="I2004" t="str">
        <f>"Ash Green Childrens Centre"</f>
        <v>Ash Green Childrens Centre</v>
      </c>
      <c r="J2004" t="str">
        <f t="shared" si="350"/>
        <v>Access to Support provision Other Agency And Contracted Services Agency And Contracted Services Early Intervention Childcare Funding Childrens S</v>
      </c>
    </row>
    <row r="2005" spans="1:10" x14ac:dyDescent="0.35">
      <c r="A2005" t="str">
        <f t="shared" si="344"/>
        <v>JAN</v>
      </c>
      <c r="B2005" t="str">
        <f t="shared" si="345"/>
        <v>21</v>
      </c>
      <c r="C2005" t="str">
        <f t="shared" si="348"/>
        <v>2020/21</v>
      </c>
      <c r="D2005" t="str">
        <f>"SC EY 218081"</f>
        <v>SC EY 218081</v>
      </c>
      <c r="E2005" t="str">
        <f t="shared" si="349"/>
        <v>SC</v>
      </c>
      <c r="F2005" t="s">
        <v>32</v>
      </c>
      <c r="G2005" t="s">
        <v>30</v>
      </c>
      <c r="H2005">
        <v>1386</v>
      </c>
      <c r="I2005" t="str">
        <f>"Kevin Pearce Childrens Centre"</f>
        <v>Kevin Pearce Childrens Centre</v>
      </c>
      <c r="J2005" t="str">
        <f t="shared" si="350"/>
        <v>Access to Support provision Other Agency And Contracted Services Agency And Contracted Services Early Intervention Childcare Funding Childrens S</v>
      </c>
    </row>
    <row r="2006" spans="1:10" x14ac:dyDescent="0.35">
      <c r="A2006" t="str">
        <f t="shared" si="344"/>
        <v>JAN</v>
      </c>
      <c r="B2006" t="str">
        <f t="shared" si="345"/>
        <v>21</v>
      </c>
      <c r="C2006" t="str">
        <f t="shared" si="348"/>
        <v>2020/21</v>
      </c>
      <c r="D2006" t="str">
        <f>"SC EY 218139"</f>
        <v>SC EY 218139</v>
      </c>
      <c r="E2006" t="str">
        <f t="shared" si="349"/>
        <v>SC</v>
      </c>
      <c r="F2006" t="s">
        <v>32</v>
      </c>
      <c r="G2006" t="s">
        <v>30</v>
      </c>
      <c r="H2006">
        <v>487</v>
      </c>
      <c r="I2006" t="str">
        <f>"Siddal Children's Centre"</f>
        <v>Siddal Children's Centre</v>
      </c>
      <c r="J2006" t="str">
        <f t="shared" si="350"/>
        <v>Access to Support provision Other Agency And Contracted Services Agency And Contracted Services Early Intervention Childcare Funding Childrens S</v>
      </c>
    </row>
    <row r="2007" spans="1:10" x14ac:dyDescent="0.35">
      <c r="A2007" t="str">
        <f t="shared" si="344"/>
        <v>JAN</v>
      </c>
      <c r="B2007" t="str">
        <f t="shared" si="345"/>
        <v>21</v>
      </c>
      <c r="C2007" t="str">
        <f t="shared" si="348"/>
        <v>2020/21</v>
      </c>
      <c r="D2007" t="str">
        <f>"SC EY 218086"</f>
        <v>SC EY 218086</v>
      </c>
      <c r="E2007" t="str">
        <f t="shared" si="349"/>
        <v>SC</v>
      </c>
      <c r="F2007" t="s">
        <v>32</v>
      </c>
      <c r="G2007" t="s">
        <v>30</v>
      </c>
      <c r="H2007">
        <v>180</v>
      </c>
      <c r="I2007" t="str">
        <f>"Todmorden Children's Centre"</f>
        <v>Todmorden Children's Centre</v>
      </c>
      <c r="J2007" t="str">
        <f t="shared" si="350"/>
        <v>Access to Support provision Other Agency And Contracted Services Agency And Contracted Services Early Intervention Childcare Funding Childrens S</v>
      </c>
    </row>
    <row r="2008" spans="1:10" x14ac:dyDescent="0.35">
      <c r="A2008" t="str">
        <f t="shared" si="344"/>
        <v>JAN</v>
      </c>
      <c r="B2008" t="str">
        <f t="shared" si="345"/>
        <v>21</v>
      </c>
      <c r="C2008" t="str">
        <f t="shared" si="348"/>
        <v>2020/21</v>
      </c>
      <c r="D2008" t="str">
        <f>"SC EY 218087"</f>
        <v>SC EY 218087</v>
      </c>
      <c r="E2008" t="str">
        <f t="shared" si="349"/>
        <v>SC</v>
      </c>
      <c r="F2008" t="s">
        <v>32</v>
      </c>
      <c r="G2008" t="s">
        <v>30</v>
      </c>
      <c r="H2008">
        <v>495</v>
      </c>
      <c r="I2008" t="str">
        <f>"Wellholme Children's Centre"</f>
        <v>Wellholme Children's Centre</v>
      </c>
      <c r="J2008" t="str">
        <f t="shared" si="350"/>
        <v>Access to Support provision Other Agency And Contracted Services Agency And Contracted Services Early Intervention Childcare Funding Childrens S</v>
      </c>
    </row>
    <row r="2009" spans="1:10" x14ac:dyDescent="0.35">
      <c r="A2009" t="str">
        <f t="shared" si="344"/>
        <v>JAN</v>
      </c>
      <c r="B2009" t="str">
        <f t="shared" si="345"/>
        <v>21</v>
      </c>
      <c r="C2009" t="str">
        <f t="shared" si="348"/>
        <v>2020/21</v>
      </c>
      <c r="D2009" t="str">
        <f>"SC EY 218184"</f>
        <v>SC EY 218184</v>
      </c>
      <c r="E2009" t="str">
        <f t="shared" si="349"/>
        <v>SC</v>
      </c>
      <c r="F2009" t="s">
        <v>32</v>
      </c>
      <c r="G2009" t="s">
        <v>30</v>
      </c>
      <c r="H2009">
        <v>1242</v>
      </c>
      <c r="I2009" t="str">
        <f>"Children's Corner Pre-School Committee"</f>
        <v>Children's Corner Pre-School Committee</v>
      </c>
      <c r="J2009" t="str">
        <f t="shared" ref="J2009:J2042" si="351"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2010" spans="1:10" x14ac:dyDescent="0.35">
      <c r="A2010" t="str">
        <f t="shared" si="344"/>
        <v>JAN</v>
      </c>
      <c r="B2010" t="str">
        <f t="shared" si="345"/>
        <v>21</v>
      </c>
      <c r="C2010" t="str">
        <f t="shared" si="348"/>
        <v>2020/21</v>
      </c>
      <c r="D2010" t="str">
        <f>"SC EY 218187"</f>
        <v>SC EY 218187</v>
      </c>
      <c r="E2010" t="str">
        <f t="shared" si="349"/>
        <v>SC</v>
      </c>
      <c r="F2010" t="s">
        <v>32</v>
      </c>
      <c r="G2010" t="s">
        <v>30</v>
      </c>
      <c r="H2010">
        <v>1242</v>
      </c>
      <c r="I2010" t="str">
        <f>"Creations Community Childrens Centre"</f>
        <v>Creations Community Childrens Centre</v>
      </c>
      <c r="J2010" t="str">
        <f t="shared" si="351"/>
        <v>3/4 year old inclusion support (DSG) Grants And Subscriptions Supplies And Services D C A T C H Childrens Services Unit</v>
      </c>
    </row>
    <row r="2011" spans="1:10" x14ac:dyDescent="0.35">
      <c r="A2011" t="str">
        <f t="shared" si="344"/>
        <v>JAN</v>
      </c>
      <c r="B2011" t="str">
        <f t="shared" si="345"/>
        <v>21</v>
      </c>
      <c r="C2011" t="str">
        <f t="shared" si="348"/>
        <v>2020/21</v>
      </c>
      <c r="D2011" t="str">
        <f>"SC EY 218187"</f>
        <v>SC EY 218187</v>
      </c>
      <c r="E2011" t="str">
        <f t="shared" si="349"/>
        <v>SC</v>
      </c>
      <c r="F2011" t="s">
        <v>32</v>
      </c>
      <c r="G2011" t="s">
        <v>30</v>
      </c>
      <c r="H2011">
        <v>1242</v>
      </c>
      <c r="I2011" t="str">
        <f>"Creations Community Childrens Centre"</f>
        <v>Creations Community Childrens Centre</v>
      </c>
      <c r="J2011" t="str">
        <f t="shared" si="351"/>
        <v>3/4 year old inclusion support (DSG) Grants And Subscriptions Supplies And Services D C A T C H Childrens Services Unit</v>
      </c>
    </row>
    <row r="2012" spans="1:10" x14ac:dyDescent="0.35">
      <c r="A2012" t="str">
        <f t="shared" si="344"/>
        <v>JAN</v>
      </c>
      <c r="B2012" t="str">
        <f t="shared" si="345"/>
        <v>21</v>
      </c>
      <c r="C2012" t="str">
        <f t="shared" si="348"/>
        <v>2020/21</v>
      </c>
      <c r="D2012" t="str">
        <f>"SC EY 218187"</f>
        <v>SC EY 218187</v>
      </c>
      <c r="E2012" t="str">
        <f t="shared" si="349"/>
        <v>SC</v>
      </c>
      <c r="F2012" t="s">
        <v>32</v>
      </c>
      <c r="G2012" t="s">
        <v>30</v>
      </c>
      <c r="H2012">
        <v>1242</v>
      </c>
      <c r="I2012" t="str">
        <f>"Creations Community Childrens Centre"</f>
        <v>Creations Community Childrens Centre</v>
      </c>
      <c r="J2012" t="str">
        <f t="shared" si="351"/>
        <v>3/4 year old inclusion support (DSG) Grants And Subscriptions Supplies And Services D C A T C H Childrens Services Unit</v>
      </c>
    </row>
    <row r="2013" spans="1:10" x14ac:dyDescent="0.35">
      <c r="A2013" t="str">
        <f t="shared" si="344"/>
        <v>JAN</v>
      </c>
      <c r="B2013" t="str">
        <f t="shared" si="345"/>
        <v>21</v>
      </c>
      <c r="C2013" t="str">
        <f t="shared" si="348"/>
        <v>2020/21</v>
      </c>
      <c r="D2013" t="str">
        <f>"SC EY 218187"</f>
        <v>SC EY 218187</v>
      </c>
      <c r="E2013" t="str">
        <f t="shared" si="349"/>
        <v>SC</v>
      </c>
      <c r="F2013" t="s">
        <v>32</v>
      </c>
      <c r="G2013" t="s">
        <v>30</v>
      </c>
      <c r="H2013">
        <v>1242</v>
      </c>
      <c r="I2013" t="str">
        <f>"Creations Community Childrens Centre"</f>
        <v>Creations Community Childrens Centre</v>
      </c>
      <c r="J2013" t="str">
        <f t="shared" si="351"/>
        <v>3/4 year old inclusion support (DSG) Grants And Subscriptions Supplies And Services D C A T C H Childrens Services Unit</v>
      </c>
    </row>
    <row r="2014" spans="1:10" x14ac:dyDescent="0.35">
      <c r="A2014" t="str">
        <f t="shared" si="344"/>
        <v>JAN</v>
      </c>
      <c r="B2014" t="str">
        <f t="shared" si="345"/>
        <v>21</v>
      </c>
      <c r="C2014" t="str">
        <f t="shared" si="348"/>
        <v>2020/21</v>
      </c>
      <c r="D2014" t="str">
        <f>"SC EY 218187"</f>
        <v>SC EY 218187</v>
      </c>
      <c r="E2014" t="str">
        <f t="shared" si="349"/>
        <v>SC</v>
      </c>
      <c r="F2014" t="s">
        <v>32</v>
      </c>
      <c r="G2014" t="s">
        <v>30</v>
      </c>
      <c r="H2014">
        <v>1242</v>
      </c>
      <c r="I2014" t="str">
        <f>"Creations Community Childrens Centre"</f>
        <v>Creations Community Childrens Centre</v>
      </c>
      <c r="J2014" t="str">
        <f t="shared" si="351"/>
        <v>3/4 year old inclusion support (DSG) Grants And Subscriptions Supplies And Services D C A T C H Childrens Services Unit</v>
      </c>
    </row>
    <row r="2015" spans="1:10" x14ac:dyDescent="0.35">
      <c r="A2015" t="str">
        <f t="shared" si="344"/>
        <v>JAN</v>
      </c>
      <c r="B2015" t="str">
        <f t="shared" si="345"/>
        <v>21</v>
      </c>
      <c r="C2015" t="str">
        <f t="shared" si="348"/>
        <v>2020/21</v>
      </c>
      <c r="D2015" t="str">
        <f>"SC EY 218188"</f>
        <v>SC EY 218188</v>
      </c>
      <c r="E2015" t="str">
        <f t="shared" si="349"/>
        <v>SC</v>
      </c>
      <c r="F2015" t="s">
        <v>32</v>
      </c>
      <c r="G2015" t="s">
        <v>30</v>
      </c>
      <c r="H2015">
        <v>1242</v>
      </c>
      <c r="I2015" t="str">
        <f>"Crossley Mill Nursery"</f>
        <v>Crossley Mill Nursery</v>
      </c>
      <c r="J2015" t="str">
        <f t="shared" si="351"/>
        <v>3/4 year old inclusion support (DSG) Grants And Subscriptions Supplies And Services D C A T C H Childrens Services Unit</v>
      </c>
    </row>
    <row r="2016" spans="1:10" x14ac:dyDescent="0.35">
      <c r="A2016" t="str">
        <f t="shared" si="344"/>
        <v>JAN</v>
      </c>
      <c r="B2016" t="str">
        <f t="shared" si="345"/>
        <v>21</v>
      </c>
      <c r="C2016" t="str">
        <f t="shared" si="348"/>
        <v>2020/21</v>
      </c>
      <c r="D2016" t="str">
        <f t="shared" ref="D2016:D2026" si="352">"SC EY 218200"</f>
        <v>SC EY 218200</v>
      </c>
      <c r="E2016" t="str">
        <f t="shared" si="349"/>
        <v>SC</v>
      </c>
      <c r="F2016" t="s">
        <v>32</v>
      </c>
      <c r="G2016" t="s">
        <v>30</v>
      </c>
      <c r="H2016">
        <v>810</v>
      </c>
      <c r="I2016" t="str">
        <f t="shared" ref="I2016:I2026" si="353">"Innovations Children's Centre"</f>
        <v>Innovations Children's Centre</v>
      </c>
      <c r="J2016" t="str">
        <f t="shared" si="351"/>
        <v>3/4 year old inclusion support (DSG) Grants And Subscriptions Supplies And Services D C A T C H Childrens Services Unit</v>
      </c>
    </row>
    <row r="2017" spans="1:10" x14ac:dyDescent="0.35">
      <c r="A2017" t="str">
        <f t="shared" si="344"/>
        <v>JAN</v>
      </c>
      <c r="B2017" t="str">
        <f t="shared" si="345"/>
        <v>21</v>
      </c>
      <c r="C2017" t="str">
        <f t="shared" si="348"/>
        <v>2020/21</v>
      </c>
      <c r="D2017" t="str">
        <f t="shared" si="352"/>
        <v>SC EY 218200</v>
      </c>
      <c r="E2017" t="str">
        <f t="shared" si="349"/>
        <v>SC</v>
      </c>
      <c r="F2017" t="s">
        <v>32</v>
      </c>
      <c r="G2017" t="s">
        <v>30</v>
      </c>
      <c r="H2017">
        <v>972</v>
      </c>
      <c r="I2017" t="str">
        <f t="shared" si="353"/>
        <v>Innovations Children's Centre</v>
      </c>
      <c r="J2017" t="str">
        <f t="shared" si="351"/>
        <v>3/4 year old inclusion support (DSG) Grants And Subscriptions Supplies And Services D C A T C H Childrens Services Unit</v>
      </c>
    </row>
    <row r="2018" spans="1:10" x14ac:dyDescent="0.35">
      <c r="A2018" t="str">
        <f t="shared" si="344"/>
        <v>JAN</v>
      </c>
      <c r="B2018" t="str">
        <f t="shared" si="345"/>
        <v>21</v>
      </c>
      <c r="C2018" t="str">
        <f t="shared" si="348"/>
        <v>2020/21</v>
      </c>
      <c r="D2018" t="str">
        <f t="shared" si="352"/>
        <v>SC EY 218200</v>
      </c>
      <c r="E2018" t="str">
        <f t="shared" si="349"/>
        <v>SC</v>
      </c>
      <c r="F2018" t="s">
        <v>32</v>
      </c>
      <c r="G2018" t="s">
        <v>30</v>
      </c>
      <c r="H2018">
        <v>1242</v>
      </c>
      <c r="I2018" t="str">
        <f t="shared" si="353"/>
        <v>Innovations Children's Centre</v>
      </c>
      <c r="J2018" t="str">
        <f t="shared" si="351"/>
        <v>3/4 year old inclusion support (DSG) Grants And Subscriptions Supplies And Services D C A T C H Childrens Services Unit</v>
      </c>
    </row>
    <row r="2019" spans="1:10" x14ac:dyDescent="0.35">
      <c r="A2019" t="str">
        <f t="shared" si="344"/>
        <v>JAN</v>
      </c>
      <c r="B2019" t="str">
        <f t="shared" si="345"/>
        <v>21</v>
      </c>
      <c r="C2019" t="str">
        <f t="shared" si="348"/>
        <v>2020/21</v>
      </c>
      <c r="D2019" t="str">
        <f t="shared" si="352"/>
        <v>SC EY 218200</v>
      </c>
      <c r="E2019" t="str">
        <f t="shared" si="349"/>
        <v>SC</v>
      </c>
      <c r="F2019" t="s">
        <v>32</v>
      </c>
      <c r="G2019" t="s">
        <v>30</v>
      </c>
      <c r="H2019">
        <v>810</v>
      </c>
      <c r="I2019" t="str">
        <f t="shared" si="353"/>
        <v>Innovations Children's Centre</v>
      </c>
      <c r="J2019" t="str">
        <f t="shared" si="351"/>
        <v>3/4 year old inclusion support (DSG) Grants And Subscriptions Supplies And Services D C A T C H Childrens Services Unit</v>
      </c>
    </row>
    <row r="2020" spans="1:10" x14ac:dyDescent="0.35">
      <c r="A2020" t="str">
        <f t="shared" si="344"/>
        <v>JAN</v>
      </c>
      <c r="B2020" t="str">
        <f t="shared" si="345"/>
        <v>21</v>
      </c>
      <c r="C2020" t="str">
        <f t="shared" si="348"/>
        <v>2020/21</v>
      </c>
      <c r="D2020" t="str">
        <f t="shared" si="352"/>
        <v>SC EY 218200</v>
      </c>
      <c r="E2020" t="str">
        <f t="shared" si="349"/>
        <v>SC</v>
      </c>
      <c r="F2020" t="s">
        <v>32</v>
      </c>
      <c r="G2020" t="s">
        <v>30</v>
      </c>
      <c r="H2020">
        <v>1620</v>
      </c>
      <c r="I2020" t="str">
        <f t="shared" si="353"/>
        <v>Innovations Children's Centre</v>
      </c>
      <c r="J2020" t="str">
        <f t="shared" si="351"/>
        <v>3/4 year old inclusion support (DSG) Grants And Subscriptions Supplies And Services D C A T C H Childrens Services Unit</v>
      </c>
    </row>
    <row r="2021" spans="1:10" x14ac:dyDescent="0.35">
      <c r="A2021" t="str">
        <f t="shared" si="344"/>
        <v>JAN</v>
      </c>
      <c r="B2021" t="str">
        <f t="shared" si="345"/>
        <v>21</v>
      </c>
      <c r="C2021" t="str">
        <f t="shared" si="348"/>
        <v>2020/21</v>
      </c>
      <c r="D2021" t="str">
        <f t="shared" si="352"/>
        <v>SC EY 218200</v>
      </c>
      <c r="E2021" t="str">
        <f t="shared" si="349"/>
        <v>SC</v>
      </c>
      <c r="F2021" t="s">
        <v>32</v>
      </c>
      <c r="G2021" t="s">
        <v>30</v>
      </c>
      <c r="H2021">
        <v>1242</v>
      </c>
      <c r="I2021" t="str">
        <f t="shared" si="353"/>
        <v>Innovations Children's Centre</v>
      </c>
      <c r="J2021" t="str">
        <f t="shared" si="351"/>
        <v>3/4 year old inclusion support (DSG) Grants And Subscriptions Supplies And Services D C A T C H Childrens Services Unit</v>
      </c>
    </row>
    <row r="2022" spans="1:10" x14ac:dyDescent="0.35">
      <c r="A2022" t="str">
        <f t="shared" si="344"/>
        <v>JAN</v>
      </c>
      <c r="B2022" t="str">
        <f t="shared" si="345"/>
        <v>21</v>
      </c>
      <c r="C2022" t="str">
        <f t="shared" si="348"/>
        <v>2020/21</v>
      </c>
      <c r="D2022" t="str">
        <f t="shared" si="352"/>
        <v>SC EY 218200</v>
      </c>
      <c r="E2022" t="str">
        <f t="shared" si="349"/>
        <v>SC</v>
      </c>
      <c r="F2022" t="s">
        <v>32</v>
      </c>
      <c r="G2022" t="s">
        <v>30</v>
      </c>
      <c r="H2022">
        <v>1242</v>
      </c>
      <c r="I2022" t="str">
        <f t="shared" si="353"/>
        <v>Innovations Children's Centre</v>
      </c>
      <c r="J2022" t="str">
        <f t="shared" si="351"/>
        <v>3/4 year old inclusion support (DSG) Grants And Subscriptions Supplies And Services D C A T C H Childrens Services Unit</v>
      </c>
    </row>
    <row r="2023" spans="1:10" x14ac:dyDescent="0.35">
      <c r="A2023" t="str">
        <f t="shared" si="344"/>
        <v>JAN</v>
      </c>
      <c r="B2023" t="str">
        <f t="shared" si="345"/>
        <v>21</v>
      </c>
      <c r="C2023" t="str">
        <f t="shared" si="348"/>
        <v>2020/21</v>
      </c>
      <c r="D2023" t="str">
        <f t="shared" si="352"/>
        <v>SC EY 218200</v>
      </c>
      <c r="E2023" t="str">
        <f t="shared" si="349"/>
        <v>SC</v>
      </c>
      <c r="F2023" t="s">
        <v>32</v>
      </c>
      <c r="G2023" t="s">
        <v>30</v>
      </c>
      <c r="H2023">
        <v>1620</v>
      </c>
      <c r="I2023" t="str">
        <f t="shared" si="353"/>
        <v>Innovations Children's Centre</v>
      </c>
      <c r="J2023" t="str">
        <f t="shared" si="351"/>
        <v>3/4 year old inclusion support (DSG) Grants And Subscriptions Supplies And Services D C A T C H Childrens Services Unit</v>
      </c>
    </row>
    <row r="2024" spans="1:10" x14ac:dyDescent="0.35">
      <c r="A2024" t="str">
        <f t="shared" si="344"/>
        <v>JAN</v>
      </c>
      <c r="B2024" t="str">
        <f t="shared" si="345"/>
        <v>21</v>
      </c>
      <c r="C2024" t="str">
        <f t="shared" si="348"/>
        <v>2020/21</v>
      </c>
      <c r="D2024" t="str">
        <f t="shared" si="352"/>
        <v>SC EY 218200</v>
      </c>
      <c r="E2024" t="str">
        <f t="shared" si="349"/>
        <v>SC</v>
      </c>
      <c r="F2024" t="s">
        <v>32</v>
      </c>
      <c r="G2024" t="s">
        <v>30</v>
      </c>
      <c r="H2024">
        <v>810</v>
      </c>
      <c r="I2024" t="str">
        <f t="shared" si="353"/>
        <v>Innovations Children's Centre</v>
      </c>
      <c r="J2024" t="str">
        <f t="shared" si="351"/>
        <v>3/4 year old inclusion support (DSG) Grants And Subscriptions Supplies And Services D C A T C H Childrens Services Unit</v>
      </c>
    </row>
    <row r="2025" spans="1:10" x14ac:dyDescent="0.35">
      <c r="A2025" t="str">
        <f t="shared" si="344"/>
        <v>JAN</v>
      </c>
      <c r="B2025" t="str">
        <f t="shared" si="345"/>
        <v>21</v>
      </c>
      <c r="C2025" t="str">
        <f t="shared" si="348"/>
        <v>2020/21</v>
      </c>
      <c r="D2025" t="str">
        <f t="shared" si="352"/>
        <v>SC EY 218200</v>
      </c>
      <c r="E2025" t="str">
        <f t="shared" si="349"/>
        <v>SC</v>
      </c>
      <c r="F2025" t="s">
        <v>32</v>
      </c>
      <c r="G2025" t="s">
        <v>30</v>
      </c>
      <c r="H2025">
        <v>1242</v>
      </c>
      <c r="I2025" t="str">
        <f t="shared" si="353"/>
        <v>Innovations Children's Centre</v>
      </c>
      <c r="J2025" t="str">
        <f t="shared" si="351"/>
        <v>3/4 year old inclusion support (DSG) Grants And Subscriptions Supplies And Services D C A T C H Childrens Services Unit</v>
      </c>
    </row>
    <row r="2026" spans="1:10" x14ac:dyDescent="0.35">
      <c r="A2026" t="str">
        <f t="shared" si="344"/>
        <v>JAN</v>
      </c>
      <c r="B2026" t="str">
        <f t="shared" si="345"/>
        <v>21</v>
      </c>
      <c r="C2026" t="str">
        <f t="shared" si="348"/>
        <v>2020/21</v>
      </c>
      <c r="D2026" t="str">
        <f t="shared" si="352"/>
        <v>SC EY 218200</v>
      </c>
      <c r="E2026" t="str">
        <f t="shared" si="349"/>
        <v>SC</v>
      </c>
      <c r="F2026" t="s">
        <v>32</v>
      </c>
      <c r="G2026" t="s">
        <v>30</v>
      </c>
      <c r="H2026">
        <v>1620</v>
      </c>
      <c r="I2026" t="str">
        <f t="shared" si="353"/>
        <v>Innovations Children's Centre</v>
      </c>
      <c r="J2026" t="str">
        <f t="shared" si="351"/>
        <v>3/4 year old inclusion support (DSG) Grants And Subscriptions Supplies And Services D C A T C H Childrens Services Unit</v>
      </c>
    </row>
    <row r="2027" spans="1:10" x14ac:dyDescent="0.35">
      <c r="A2027" t="str">
        <f t="shared" si="344"/>
        <v>JAN</v>
      </c>
      <c r="B2027" t="str">
        <f t="shared" si="345"/>
        <v>21</v>
      </c>
      <c r="C2027" t="str">
        <f t="shared" si="348"/>
        <v>2020/21</v>
      </c>
      <c r="D2027" t="str">
        <f>"SC EY 218201"</f>
        <v>SC EY 218201</v>
      </c>
      <c r="E2027" t="str">
        <f t="shared" si="349"/>
        <v>SC</v>
      </c>
      <c r="F2027" t="s">
        <v>32</v>
      </c>
      <c r="G2027" t="s">
        <v>30</v>
      </c>
      <c r="H2027">
        <v>1242</v>
      </c>
      <c r="I2027" t="str">
        <f>"Jubilee Children's Centre"</f>
        <v>Jubilee Children's Centre</v>
      </c>
      <c r="J2027" t="str">
        <f t="shared" si="351"/>
        <v>3/4 year old inclusion support (DSG) Grants And Subscriptions Supplies And Services D C A T C H Childrens Services Unit</v>
      </c>
    </row>
    <row r="2028" spans="1:10" x14ac:dyDescent="0.35">
      <c r="A2028" t="str">
        <f t="shared" si="344"/>
        <v>JAN</v>
      </c>
      <c r="B2028" t="str">
        <f t="shared" si="345"/>
        <v>21</v>
      </c>
      <c r="C2028" t="str">
        <f t="shared" si="348"/>
        <v>2020/21</v>
      </c>
      <c r="D2028" t="str">
        <f>"SC EY 218201"</f>
        <v>SC EY 218201</v>
      </c>
      <c r="E2028" t="str">
        <f t="shared" si="349"/>
        <v>SC</v>
      </c>
      <c r="F2028" t="s">
        <v>32</v>
      </c>
      <c r="G2028" t="s">
        <v>30</v>
      </c>
      <c r="H2028">
        <v>756</v>
      </c>
      <c r="I2028" t="str">
        <f>"Jubilee Children's Centre"</f>
        <v>Jubilee Children's Centre</v>
      </c>
      <c r="J2028" t="str">
        <f t="shared" si="351"/>
        <v>3/4 year old inclusion support (DSG) Grants And Subscriptions Supplies And Services D C A T C H Childrens Services Unit</v>
      </c>
    </row>
    <row r="2029" spans="1:10" x14ac:dyDescent="0.35">
      <c r="A2029" t="str">
        <f t="shared" si="344"/>
        <v>JAN</v>
      </c>
      <c r="B2029" t="str">
        <f t="shared" si="345"/>
        <v>21</v>
      </c>
      <c r="C2029" t="str">
        <f t="shared" si="348"/>
        <v>2020/21</v>
      </c>
      <c r="D2029" t="str">
        <f>"SC EY 218201"</f>
        <v>SC EY 218201</v>
      </c>
      <c r="E2029" t="str">
        <f t="shared" si="349"/>
        <v>SC</v>
      </c>
      <c r="F2029" t="s">
        <v>32</v>
      </c>
      <c r="G2029" t="s">
        <v>30</v>
      </c>
      <c r="H2029">
        <v>1242</v>
      </c>
      <c r="I2029" t="str">
        <f>"Jubilee Children's Centre"</f>
        <v>Jubilee Children's Centre</v>
      </c>
      <c r="J2029" t="str">
        <f t="shared" si="351"/>
        <v>3/4 year old inclusion support (DSG) Grants And Subscriptions Supplies And Services D C A T C H Childrens Services Unit</v>
      </c>
    </row>
    <row r="2030" spans="1:10" x14ac:dyDescent="0.35">
      <c r="A2030" t="str">
        <f t="shared" si="344"/>
        <v>JAN</v>
      </c>
      <c r="B2030" t="str">
        <f t="shared" si="345"/>
        <v>21</v>
      </c>
      <c r="C2030" t="str">
        <f t="shared" si="348"/>
        <v>2020/21</v>
      </c>
      <c r="D2030" t="str">
        <f>"SC EY 218173"</f>
        <v>SC EY 218173</v>
      </c>
      <c r="E2030" t="str">
        <f t="shared" si="349"/>
        <v>SC</v>
      </c>
      <c r="F2030" t="s">
        <v>32</v>
      </c>
      <c r="G2030" t="s">
        <v>30</v>
      </c>
      <c r="H2030">
        <v>810</v>
      </c>
      <c r="I2030" t="str">
        <f>"Ash Green Childrens Centre"</f>
        <v>Ash Green Childrens Centre</v>
      </c>
      <c r="J2030" t="str">
        <f t="shared" si="351"/>
        <v>3/4 year old inclusion support (DSG) Grants And Subscriptions Supplies And Services D C A T C H Childrens Services Unit</v>
      </c>
    </row>
    <row r="2031" spans="1:10" x14ac:dyDescent="0.35">
      <c r="A2031" t="str">
        <f t="shared" si="344"/>
        <v>JAN</v>
      </c>
      <c r="B2031" t="str">
        <f t="shared" si="345"/>
        <v>21</v>
      </c>
      <c r="C2031" t="str">
        <f t="shared" si="348"/>
        <v>2020/21</v>
      </c>
      <c r="D2031" t="str">
        <f>"SC EY 218173"</f>
        <v>SC EY 218173</v>
      </c>
      <c r="E2031" t="str">
        <f t="shared" si="349"/>
        <v>SC</v>
      </c>
      <c r="F2031" t="s">
        <v>32</v>
      </c>
      <c r="G2031" t="s">
        <v>30</v>
      </c>
      <c r="H2031">
        <v>810</v>
      </c>
      <c r="I2031" t="str">
        <f>"Ash Green Childrens Centre"</f>
        <v>Ash Green Childrens Centre</v>
      </c>
      <c r="J2031" t="str">
        <f t="shared" si="351"/>
        <v>3/4 year old inclusion support (DSG) Grants And Subscriptions Supplies And Services D C A T C H Childrens Services Unit</v>
      </c>
    </row>
    <row r="2032" spans="1:10" x14ac:dyDescent="0.35">
      <c r="A2032" t="str">
        <f t="shared" si="344"/>
        <v>JAN</v>
      </c>
      <c r="B2032" t="str">
        <f t="shared" si="345"/>
        <v>21</v>
      </c>
      <c r="C2032" t="str">
        <f t="shared" si="348"/>
        <v>2020/21</v>
      </c>
      <c r="D2032" t="str">
        <f t="shared" ref="D2032:D2037" si="354">"SC EY 218202"</f>
        <v>SC EY 218202</v>
      </c>
      <c r="E2032" t="str">
        <f t="shared" si="349"/>
        <v>SC</v>
      </c>
      <c r="F2032" t="s">
        <v>32</v>
      </c>
      <c r="G2032" t="s">
        <v>30</v>
      </c>
      <c r="H2032">
        <v>1620</v>
      </c>
      <c r="I2032" t="str">
        <f t="shared" ref="I2032:I2038" si="355">"Kevin Pearce Childrens Centre"</f>
        <v>Kevin Pearce Childrens Centre</v>
      </c>
      <c r="J2032" t="str">
        <f t="shared" si="351"/>
        <v>3/4 year old inclusion support (DSG) Grants And Subscriptions Supplies And Services D C A T C H Childrens Services Unit</v>
      </c>
    </row>
    <row r="2033" spans="1:10" x14ac:dyDescent="0.35">
      <c r="A2033" t="str">
        <f t="shared" si="344"/>
        <v>JAN</v>
      </c>
      <c r="B2033" t="str">
        <f t="shared" si="345"/>
        <v>21</v>
      </c>
      <c r="C2033" t="str">
        <f t="shared" si="348"/>
        <v>2020/21</v>
      </c>
      <c r="D2033" t="str">
        <f t="shared" si="354"/>
        <v>SC EY 218202</v>
      </c>
      <c r="E2033" t="str">
        <f t="shared" si="349"/>
        <v>SC</v>
      </c>
      <c r="F2033" t="s">
        <v>32</v>
      </c>
      <c r="G2033" t="s">
        <v>30</v>
      </c>
      <c r="H2033">
        <v>1674</v>
      </c>
      <c r="I2033" t="str">
        <f t="shared" si="355"/>
        <v>Kevin Pearce Childrens Centre</v>
      </c>
      <c r="J2033" t="str">
        <f t="shared" si="351"/>
        <v>3/4 year old inclusion support (DSG) Grants And Subscriptions Supplies And Services D C A T C H Childrens Services Unit</v>
      </c>
    </row>
    <row r="2034" spans="1:10" x14ac:dyDescent="0.35">
      <c r="A2034" t="str">
        <f t="shared" si="344"/>
        <v>JAN</v>
      </c>
      <c r="B2034" t="str">
        <f t="shared" si="345"/>
        <v>21</v>
      </c>
      <c r="C2034" t="str">
        <f t="shared" si="348"/>
        <v>2020/21</v>
      </c>
      <c r="D2034" t="str">
        <f t="shared" si="354"/>
        <v>SC EY 218202</v>
      </c>
      <c r="E2034" t="str">
        <f t="shared" si="349"/>
        <v>SC</v>
      </c>
      <c r="F2034" t="s">
        <v>32</v>
      </c>
      <c r="G2034" t="s">
        <v>30</v>
      </c>
      <c r="H2034">
        <v>1242</v>
      </c>
      <c r="I2034" t="str">
        <f t="shared" si="355"/>
        <v>Kevin Pearce Childrens Centre</v>
      </c>
      <c r="J2034" t="str">
        <f t="shared" si="351"/>
        <v>3/4 year old inclusion support (DSG) Grants And Subscriptions Supplies And Services D C A T C H Childrens Services Unit</v>
      </c>
    </row>
    <row r="2035" spans="1:10" x14ac:dyDescent="0.35">
      <c r="A2035" t="str">
        <f t="shared" ref="A2035:A2098" si="356">"JAN"</f>
        <v>JAN</v>
      </c>
      <c r="B2035" t="str">
        <f t="shared" ref="B2035:B2098" si="357">"21"</f>
        <v>21</v>
      </c>
      <c r="C2035" t="str">
        <f t="shared" si="348"/>
        <v>2020/21</v>
      </c>
      <c r="D2035" t="str">
        <f t="shared" si="354"/>
        <v>SC EY 218202</v>
      </c>
      <c r="E2035" t="str">
        <f t="shared" si="349"/>
        <v>SC</v>
      </c>
      <c r="F2035" t="s">
        <v>32</v>
      </c>
      <c r="G2035" t="s">
        <v>30</v>
      </c>
      <c r="H2035">
        <v>1242</v>
      </c>
      <c r="I2035" t="str">
        <f t="shared" si="355"/>
        <v>Kevin Pearce Childrens Centre</v>
      </c>
      <c r="J2035" t="str">
        <f t="shared" si="351"/>
        <v>3/4 year old inclusion support (DSG) Grants And Subscriptions Supplies And Services D C A T C H Childrens Services Unit</v>
      </c>
    </row>
    <row r="2036" spans="1:10" x14ac:dyDescent="0.35">
      <c r="A2036" t="str">
        <f t="shared" si="356"/>
        <v>JAN</v>
      </c>
      <c r="B2036" t="str">
        <f t="shared" si="357"/>
        <v>21</v>
      </c>
      <c r="C2036" t="str">
        <f t="shared" si="348"/>
        <v>2020/21</v>
      </c>
      <c r="D2036" t="str">
        <f t="shared" si="354"/>
        <v>SC EY 218202</v>
      </c>
      <c r="E2036" t="str">
        <f t="shared" si="349"/>
        <v>SC</v>
      </c>
      <c r="F2036" t="s">
        <v>32</v>
      </c>
      <c r="G2036" t="s">
        <v>30</v>
      </c>
      <c r="H2036">
        <v>1242</v>
      </c>
      <c r="I2036" t="str">
        <f t="shared" si="355"/>
        <v>Kevin Pearce Childrens Centre</v>
      </c>
      <c r="J2036" t="str">
        <f t="shared" si="351"/>
        <v>3/4 year old inclusion support (DSG) Grants And Subscriptions Supplies And Services D C A T C H Childrens Services Unit</v>
      </c>
    </row>
    <row r="2037" spans="1:10" x14ac:dyDescent="0.35">
      <c r="A2037" t="str">
        <f t="shared" si="356"/>
        <v>JAN</v>
      </c>
      <c r="B2037" t="str">
        <f t="shared" si="357"/>
        <v>21</v>
      </c>
      <c r="C2037" t="str">
        <f t="shared" si="348"/>
        <v>2020/21</v>
      </c>
      <c r="D2037" t="str">
        <f t="shared" si="354"/>
        <v>SC EY 218202</v>
      </c>
      <c r="E2037" t="str">
        <f t="shared" si="349"/>
        <v>SC</v>
      </c>
      <c r="F2037" t="s">
        <v>32</v>
      </c>
      <c r="G2037" t="s">
        <v>30</v>
      </c>
      <c r="H2037">
        <v>828</v>
      </c>
      <c r="I2037" t="str">
        <f t="shared" si="355"/>
        <v>Kevin Pearce Childrens Centre</v>
      </c>
      <c r="J2037" t="str">
        <f t="shared" si="351"/>
        <v>3/4 year old inclusion support (DSG) Grants And Subscriptions Supplies And Services D C A T C H Childrens Services Unit</v>
      </c>
    </row>
    <row r="2038" spans="1:10" x14ac:dyDescent="0.35">
      <c r="A2038" t="str">
        <f t="shared" si="356"/>
        <v>JAN</v>
      </c>
      <c r="B2038" t="str">
        <f t="shared" si="357"/>
        <v>21</v>
      </c>
      <c r="C2038" t="str">
        <f t="shared" si="348"/>
        <v>2020/21</v>
      </c>
      <c r="D2038" t="str">
        <f>"SC EY 218311"</f>
        <v>SC EY 218311</v>
      </c>
      <c r="E2038" t="str">
        <f t="shared" si="349"/>
        <v>SC</v>
      </c>
      <c r="F2038" t="s">
        <v>32</v>
      </c>
      <c r="G2038" t="s">
        <v>30</v>
      </c>
      <c r="H2038">
        <v>270</v>
      </c>
      <c r="I2038" t="str">
        <f t="shared" si="355"/>
        <v>Kevin Pearce Childrens Centre</v>
      </c>
      <c r="J2038" t="str">
        <f t="shared" si="351"/>
        <v>3/4 year old inclusion support (DSG) Grants And Subscriptions Supplies And Services D C A T C H Childrens Services Unit</v>
      </c>
    </row>
    <row r="2039" spans="1:10" x14ac:dyDescent="0.35">
      <c r="A2039" t="str">
        <f t="shared" si="356"/>
        <v>JAN</v>
      </c>
      <c r="B2039" t="str">
        <f t="shared" si="357"/>
        <v>21</v>
      </c>
      <c r="C2039" t="str">
        <f t="shared" si="348"/>
        <v>2020/21</v>
      </c>
      <c r="D2039" t="str">
        <f>"SC EY 218223"</f>
        <v>SC EY 218223</v>
      </c>
      <c r="E2039" t="str">
        <f t="shared" si="349"/>
        <v>SC</v>
      </c>
      <c r="F2039" t="s">
        <v>32</v>
      </c>
      <c r="G2039" t="s">
        <v>30</v>
      </c>
      <c r="H2039">
        <v>810</v>
      </c>
      <c r="I2039" t="str">
        <f>"Sowood Preschool &amp; Community Association"</f>
        <v>Sowood Preschool &amp; Community Association</v>
      </c>
      <c r="J2039" t="str">
        <f t="shared" si="351"/>
        <v>3/4 year old inclusion support (DSG) Grants And Subscriptions Supplies And Services D C A T C H Childrens Services Unit</v>
      </c>
    </row>
    <row r="2040" spans="1:10" x14ac:dyDescent="0.35">
      <c r="A2040" t="str">
        <f t="shared" si="356"/>
        <v>JAN</v>
      </c>
      <c r="B2040" t="str">
        <f t="shared" si="357"/>
        <v>21</v>
      </c>
      <c r="C2040" t="str">
        <f t="shared" si="348"/>
        <v>2020/21</v>
      </c>
      <c r="D2040" t="str">
        <f>"SC EY 218233"</f>
        <v>SC EY 218233</v>
      </c>
      <c r="E2040" t="str">
        <f t="shared" si="349"/>
        <v>SC</v>
      </c>
      <c r="F2040" t="s">
        <v>32</v>
      </c>
      <c r="G2040" t="s">
        <v>30</v>
      </c>
      <c r="H2040">
        <v>1620</v>
      </c>
      <c r="I2040" t="str">
        <f>"Todmorden Children's Centre"</f>
        <v>Todmorden Children's Centre</v>
      </c>
      <c r="J2040" t="str">
        <f t="shared" si="351"/>
        <v>3/4 year old inclusion support (DSG) Grants And Subscriptions Supplies And Services D C A T C H Childrens Services Unit</v>
      </c>
    </row>
    <row r="2041" spans="1:10" x14ac:dyDescent="0.35">
      <c r="A2041" t="str">
        <f t="shared" si="356"/>
        <v>JAN</v>
      </c>
      <c r="B2041" t="str">
        <f t="shared" si="357"/>
        <v>21</v>
      </c>
      <c r="C2041" t="str">
        <f t="shared" si="348"/>
        <v>2020/21</v>
      </c>
      <c r="D2041" t="str">
        <f>"SC EY 218241"</f>
        <v>SC EY 218241</v>
      </c>
      <c r="E2041" t="str">
        <f t="shared" si="349"/>
        <v>SC</v>
      </c>
      <c r="F2041" t="s">
        <v>32</v>
      </c>
      <c r="G2041" t="s">
        <v>30</v>
      </c>
      <c r="H2041">
        <v>810</v>
      </c>
      <c r="I2041" t="str">
        <f>"Wellholme Children's Centre"</f>
        <v>Wellholme Children's Centre</v>
      </c>
      <c r="J2041" t="str">
        <f t="shared" si="351"/>
        <v>3/4 year old inclusion support (DSG) Grants And Subscriptions Supplies And Services D C A T C H Childrens Services Unit</v>
      </c>
    </row>
    <row r="2042" spans="1:10" x14ac:dyDescent="0.35">
      <c r="A2042" t="str">
        <f t="shared" si="356"/>
        <v>JAN</v>
      </c>
      <c r="B2042" t="str">
        <f t="shared" si="357"/>
        <v>21</v>
      </c>
      <c r="C2042" t="str">
        <f t="shared" si="348"/>
        <v>2020/21</v>
      </c>
      <c r="D2042" t="str">
        <f>"SC EY 218241"</f>
        <v>SC EY 218241</v>
      </c>
      <c r="E2042" t="str">
        <f t="shared" si="349"/>
        <v>SC</v>
      </c>
      <c r="F2042" t="s">
        <v>32</v>
      </c>
      <c r="G2042" t="s">
        <v>30</v>
      </c>
      <c r="H2042">
        <v>810</v>
      </c>
      <c r="I2042" t="str">
        <f>"Wellholme Children's Centre"</f>
        <v>Wellholme Children's Centre</v>
      </c>
      <c r="J2042" t="str">
        <f t="shared" si="351"/>
        <v>3/4 year old inclusion support (DSG) Grants And Subscriptions Supplies And Services D C A T C H Childrens Services Unit</v>
      </c>
    </row>
    <row r="2043" spans="1:10" x14ac:dyDescent="0.35">
      <c r="A2043" t="str">
        <f t="shared" si="356"/>
        <v>JAN</v>
      </c>
      <c r="B2043" t="str">
        <f t="shared" si="357"/>
        <v>21</v>
      </c>
      <c r="C2043" t="str">
        <f t="shared" si="348"/>
        <v>2020/21</v>
      </c>
      <c r="D2043" t="str">
        <f>"SC CM 218127"</f>
        <v>SC CM 218127</v>
      </c>
      <c r="E2043" t="str">
        <f t="shared" si="349"/>
        <v>SC</v>
      </c>
      <c r="F2043" t="s">
        <v>33</v>
      </c>
      <c r="G2043" t="s">
        <v>30</v>
      </c>
      <c r="H2043">
        <v>120</v>
      </c>
      <c r="I2043" t="str">
        <f>"Project Challenge"</f>
        <v>Project Challenge</v>
      </c>
      <c r="J2043" t="str">
        <f>"Activites Services Supplies And Services Central and West &amp; Upper Valley CIN/CP (non staff) Childrens Care Services"</f>
        <v>Activites Services Supplies And Services Central and West &amp; Upper Valley CIN/CP (non staff) Childrens Care Services</v>
      </c>
    </row>
    <row r="2044" spans="1:10" x14ac:dyDescent="0.35">
      <c r="A2044" t="str">
        <f t="shared" si="356"/>
        <v>JAN</v>
      </c>
      <c r="B2044" t="str">
        <f t="shared" si="357"/>
        <v>21</v>
      </c>
      <c r="C2044" t="str">
        <f t="shared" si="348"/>
        <v>2020/21</v>
      </c>
      <c r="D2044" t="str">
        <f>"SC PF 215479"</f>
        <v>SC PF 215479</v>
      </c>
      <c r="E2044" t="str">
        <f t="shared" si="349"/>
        <v>SC</v>
      </c>
      <c r="F2044" t="s">
        <v>33</v>
      </c>
      <c r="G2044" t="s">
        <v>30</v>
      </c>
      <c r="H2044">
        <v>3385.2</v>
      </c>
      <c r="I2044" t="str">
        <f>"Barnardos (Fostering &amp; Adoption)"</f>
        <v>Barnardos (Fostering &amp; Adoption)</v>
      </c>
      <c r="J2044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2045" spans="1:10" x14ac:dyDescent="0.35">
      <c r="A2045" t="str">
        <f t="shared" si="356"/>
        <v>JAN</v>
      </c>
      <c r="B2045" t="str">
        <f t="shared" si="357"/>
        <v>21</v>
      </c>
      <c r="C2045" t="str">
        <f t="shared" si="348"/>
        <v>2020/21</v>
      </c>
      <c r="D2045" t="str">
        <f>"SC PF 215529"</f>
        <v>SC PF 215529</v>
      </c>
      <c r="E2045" t="str">
        <f t="shared" si="349"/>
        <v>SC</v>
      </c>
      <c r="F2045" t="s">
        <v>33</v>
      </c>
      <c r="G2045" t="s">
        <v>30</v>
      </c>
      <c r="H2045">
        <v>3244.46</v>
      </c>
      <c r="I2045" t="str">
        <f>"The Childrens Family Trust"</f>
        <v>The Childrens Family Trust</v>
      </c>
      <c r="J2045" t="str">
        <f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2046" spans="1:10" x14ac:dyDescent="0.35">
      <c r="A2046" t="str">
        <f t="shared" si="356"/>
        <v>JAN</v>
      </c>
      <c r="B2046" t="str">
        <f t="shared" si="357"/>
        <v>21</v>
      </c>
      <c r="C2046" t="str">
        <f t="shared" si="348"/>
        <v>2020/21</v>
      </c>
      <c r="D2046" t="str">
        <f>"SS CO 112753"</f>
        <v>SS CO 112753</v>
      </c>
      <c r="E2046" t="str">
        <f t="shared" si="349"/>
        <v>SS</v>
      </c>
      <c r="F2046" t="s">
        <v>25</v>
      </c>
      <c r="G2046" t="s">
        <v>22</v>
      </c>
      <c r="H2046">
        <v>26250</v>
      </c>
      <c r="I2046" t="str">
        <f>"Calderdale Smartmove"</f>
        <v>Calderdale Smartmove</v>
      </c>
      <c r="J2046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2047" spans="1:10" x14ac:dyDescent="0.35">
      <c r="A2047" t="str">
        <f t="shared" si="356"/>
        <v>JAN</v>
      </c>
      <c r="B2047" t="str">
        <f t="shared" si="357"/>
        <v>21</v>
      </c>
      <c r="C2047" t="str">
        <f t="shared" si="348"/>
        <v>2020/21</v>
      </c>
      <c r="D2047" t="str">
        <f>"SS CO 112753"</f>
        <v>SS CO 112753</v>
      </c>
      <c r="E2047" t="str">
        <f t="shared" si="349"/>
        <v>SS</v>
      </c>
      <c r="F2047" t="s">
        <v>25</v>
      </c>
      <c r="G2047" t="s">
        <v>22</v>
      </c>
      <c r="H2047">
        <v>26250</v>
      </c>
      <c r="I2047" t="str">
        <f>"Calderdale Smartmove"</f>
        <v>Calderdale Smartmove</v>
      </c>
      <c r="J2047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2048" spans="1:10" x14ac:dyDescent="0.35">
      <c r="A2048" t="str">
        <f t="shared" si="356"/>
        <v>JAN</v>
      </c>
      <c r="B2048" t="str">
        <f t="shared" si="357"/>
        <v>21</v>
      </c>
      <c r="C2048" t="str">
        <f t="shared" si="348"/>
        <v>2020/21</v>
      </c>
      <c r="D2048" t="str">
        <f>"SS AD 116878"</f>
        <v>SS AD 116878</v>
      </c>
      <c r="E2048" t="str">
        <f t="shared" si="349"/>
        <v>SS</v>
      </c>
      <c r="F2048" t="s">
        <v>25</v>
      </c>
      <c r="G2048" t="s">
        <v>22</v>
      </c>
      <c r="H2048">
        <v>4799.3</v>
      </c>
      <c r="I2048" t="str">
        <f>"The Next Step Trust"</f>
        <v>The Next Step Trust</v>
      </c>
      <c r="J2048" t="str">
        <f>"Contribution towards Ingwood Care Home Private Contractors Agency And Contracted Services COVID 19 - Exeptional Costs Adult Health &amp; Social Care"</f>
        <v>Contribution towards Ingwood Care Home Private Contractors Agency And Contracted Services COVID 19 - Exeptional Costs Adult Health &amp; Social Care</v>
      </c>
    </row>
    <row r="2049" spans="1:10" x14ac:dyDescent="0.35">
      <c r="A2049" t="str">
        <f t="shared" si="356"/>
        <v>JAN</v>
      </c>
      <c r="B2049" t="str">
        <f t="shared" si="357"/>
        <v>21</v>
      </c>
      <c r="C2049" t="str">
        <f t="shared" si="348"/>
        <v>2020/21</v>
      </c>
      <c r="D2049" t="str">
        <f t="shared" ref="D2049:D2054" si="358">"SS SL 114876"</f>
        <v>SS SL 114876</v>
      </c>
      <c r="E2049" t="str">
        <f t="shared" si="349"/>
        <v>SS</v>
      </c>
      <c r="F2049" t="s">
        <v>25</v>
      </c>
      <c r="G2049" t="s">
        <v>22</v>
      </c>
      <c r="H2049">
        <v>1958.4</v>
      </c>
      <c r="I2049" t="str">
        <f t="shared" ref="I2049:I2065" si="359">"Mencap Northern Division"</f>
        <v>Mencap Northern Division</v>
      </c>
      <c r="J2049" t="str">
        <f t="shared" ref="J2049:J2054" si="360"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2050" spans="1:10" x14ac:dyDescent="0.35">
      <c r="A2050" t="str">
        <f t="shared" si="356"/>
        <v>JAN</v>
      </c>
      <c r="B2050" t="str">
        <f t="shared" si="357"/>
        <v>21</v>
      </c>
      <c r="C2050" t="str">
        <f t="shared" ref="C2050:C2113" si="361">"2020/21"</f>
        <v>2020/21</v>
      </c>
      <c r="D2050" t="str">
        <f t="shared" si="358"/>
        <v>SS SL 114876</v>
      </c>
      <c r="E2050" t="str">
        <f t="shared" ref="E2050:E2113" si="362">LEFT(D2050,2)</f>
        <v>SS</v>
      </c>
      <c r="F2050" t="s">
        <v>25</v>
      </c>
      <c r="G2050" t="s">
        <v>22</v>
      </c>
      <c r="H2050">
        <v>2241</v>
      </c>
      <c r="I2050" t="str">
        <f t="shared" si="359"/>
        <v>Mencap Northern Division</v>
      </c>
      <c r="J2050" t="str">
        <f t="shared" si="360"/>
        <v>Princess Street (Mencap) Voluntary Associations Agency And Contracted Services Supported Living Adult Health &amp; Social Care</v>
      </c>
    </row>
    <row r="2051" spans="1:10" x14ac:dyDescent="0.35">
      <c r="A2051" t="str">
        <f t="shared" si="356"/>
        <v>JAN</v>
      </c>
      <c r="B2051" t="str">
        <f t="shared" si="357"/>
        <v>21</v>
      </c>
      <c r="C2051" t="str">
        <f t="shared" si="361"/>
        <v>2020/21</v>
      </c>
      <c r="D2051" t="str">
        <f t="shared" si="358"/>
        <v>SS SL 114876</v>
      </c>
      <c r="E2051" t="str">
        <f t="shared" si="362"/>
        <v>SS</v>
      </c>
      <c r="F2051" t="s">
        <v>25</v>
      </c>
      <c r="G2051" t="s">
        <v>22</v>
      </c>
      <c r="H2051">
        <v>3154</v>
      </c>
      <c r="I2051" t="str">
        <f t="shared" si="359"/>
        <v>Mencap Northern Division</v>
      </c>
      <c r="J2051" t="str">
        <f t="shared" si="360"/>
        <v>Princess Street (Mencap) Voluntary Associations Agency And Contracted Services Supported Living Adult Health &amp; Social Care</v>
      </c>
    </row>
    <row r="2052" spans="1:10" x14ac:dyDescent="0.35">
      <c r="A2052" t="str">
        <f t="shared" si="356"/>
        <v>JAN</v>
      </c>
      <c r="B2052" t="str">
        <f t="shared" si="357"/>
        <v>21</v>
      </c>
      <c r="C2052" t="str">
        <f t="shared" si="361"/>
        <v>2020/21</v>
      </c>
      <c r="D2052" t="str">
        <f t="shared" si="358"/>
        <v>SS SL 114876</v>
      </c>
      <c r="E2052" t="str">
        <f t="shared" si="362"/>
        <v>SS</v>
      </c>
      <c r="F2052" t="s">
        <v>25</v>
      </c>
      <c r="G2052" t="s">
        <v>22</v>
      </c>
      <c r="H2052">
        <v>1958.4</v>
      </c>
      <c r="I2052" t="str">
        <f t="shared" si="359"/>
        <v>Mencap Northern Division</v>
      </c>
      <c r="J2052" t="str">
        <f t="shared" si="360"/>
        <v>Princess Street (Mencap) Voluntary Associations Agency And Contracted Services Supported Living Adult Health &amp; Social Care</v>
      </c>
    </row>
    <row r="2053" spans="1:10" x14ac:dyDescent="0.35">
      <c r="A2053" t="str">
        <f t="shared" si="356"/>
        <v>JAN</v>
      </c>
      <c r="B2053" t="str">
        <f t="shared" si="357"/>
        <v>21</v>
      </c>
      <c r="C2053" t="str">
        <f t="shared" si="361"/>
        <v>2020/21</v>
      </c>
      <c r="D2053" t="str">
        <f t="shared" si="358"/>
        <v>SS SL 114876</v>
      </c>
      <c r="E2053" t="str">
        <f t="shared" si="362"/>
        <v>SS</v>
      </c>
      <c r="F2053" t="s">
        <v>25</v>
      </c>
      <c r="G2053" t="s">
        <v>22</v>
      </c>
      <c r="H2053">
        <v>3154</v>
      </c>
      <c r="I2053" t="str">
        <f t="shared" si="359"/>
        <v>Mencap Northern Division</v>
      </c>
      <c r="J2053" t="str">
        <f t="shared" si="360"/>
        <v>Princess Street (Mencap) Voluntary Associations Agency And Contracted Services Supported Living Adult Health &amp; Social Care</v>
      </c>
    </row>
    <row r="2054" spans="1:10" x14ac:dyDescent="0.35">
      <c r="A2054" t="str">
        <f t="shared" si="356"/>
        <v>JAN</v>
      </c>
      <c r="B2054" t="str">
        <f t="shared" si="357"/>
        <v>21</v>
      </c>
      <c r="C2054" t="str">
        <f t="shared" si="361"/>
        <v>2020/21</v>
      </c>
      <c r="D2054" t="str">
        <f t="shared" si="358"/>
        <v>SS SL 114876</v>
      </c>
      <c r="E2054" t="str">
        <f t="shared" si="362"/>
        <v>SS</v>
      </c>
      <c r="F2054" t="s">
        <v>25</v>
      </c>
      <c r="G2054" t="s">
        <v>22</v>
      </c>
      <c r="H2054">
        <v>2241</v>
      </c>
      <c r="I2054" t="str">
        <f t="shared" si="359"/>
        <v>Mencap Northern Division</v>
      </c>
      <c r="J2054" t="str">
        <f t="shared" si="360"/>
        <v>Princess Street (Mencap) Voluntary Associations Agency And Contracted Services Supported Living Adult Health &amp; Social Care</v>
      </c>
    </row>
    <row r="2055" spans="1:10" x14ac:dyDescent="0.35">
      <c r="A2055" t="str">
        <f t="shared" si="356"/>
        <v>JAN</v>
      </c>
      <c r="B2055" t="str">
        <f t="shared" si="357"/>
        <v>21</v>
      </c>
      <c r="C2055" t="str">
        <f t="shared" si="361"/>
        <v>2020/21</v>
      </c>
      <c r="D2055" t="str">
        <f t="shared" ref="D2055:D2065" si="363">"SS SL 114875"</f>
        <v>SS SL 114875</v>
      </c>
      <c r="E2055" t="str">
        <f t="shared" si="362"/>
        <v>SS</v>
      </c>
      <c r="F2055" t="s">
        <v>25</v>
      </c>
      <c r="G2055" t="s">
        <v>22</v>
      </c>
      <c r="H2055">
        <v>-2.7</v>
      </c>
      <c r="I2055" t="str">
        <f t="shared" si="359"/>
        <v>Mencap Northern Division</v>
      </c>
      <c r="J2055" t="str">
        <f t="shared" ref="J2055:J2065" si="364"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2056" spans="1:10" x14ac:dyDescent="0.35">
      <c r="A2056" t="str">
        <f t="shared" si="356"/>
        <v>JAN</v>
      </c>
      <c r="B2056" t="str">
        <f t="shared" si="357"/>
        <v>21</v>
      </c>
      <c r="C2056" t="str">
        <f t="shared" si="361"/>
        <v>2020/21</v>
      </c>
      <c r="D2056" t="str">
        <f t="shared" si="363"/>
        <v>SS SL 114875</v>
      </c>
      <c r="E2056" t="str">
        <f t="shared" si="362"/>
        <v>SS</v>
      </c>
      <c r="F2056" t="s">
        <v>25</v>
      </c>
      <c r="G2056" t="s">
        <v>22</v>
      </c>
      <c r="H2056">
        <v>2604.9</v>
      </c>
      <c r="I2056" t="str">
        <f t="shared" si="359"/>
        <v>Mencap Northern Division</v>
      </c>
      <c r="J2056" t="str">
        <f t="shared" si="364"/>
        <v>Forest House (Mencap) Voluntary Associations Agency And Contracted Services Supported Living Adult Health &amp; Social Care</v>
      </c>
    </row>
    <row r="2057" spans="1:10" x14ac:dyDescent="0.35">
      <c r="A2057" t="str">
        <f t="shared" si="356"/>
        <v>JAN</v>
      </c>
      <c r="B2057" t="str">
        <f t="shared" si="357"/>
        <v>21</v>
      </c>
      <c r="C2057" t="str">
        <f t="shared" si="361"/>
        <v>2020/21</v>
      </c>
      <c r="D2057" t="str">
        <f t="shared" si="363"/>
        <v>SS SL 114875</v>
      </c>
      <c r="E2057" t="str">
        <f t="shared" si="362"/>
        <v>SS</v>
      </c>
      <c r="F2057" t="s">
        <v>25</v>
      </c>
      <c r="G2057" t="s">
        <v>22</v>
      </c>
      <c r="H2057">
        <v>2207.8000000000002</v>
      </c>
      <c r="I2057" t="str">
        <f t="shared" si="359"/>
        <v>Mencap Northern Division</v>
      </c>
      <c r="J2057" t="str">
        <f t="shared" si="364"/>
        <v>Forest House (Mencap) Voluntary Associations Agency And Contracted Services Supported Living Adult Health &amp; Social Care</v>
      </c>
    </row>
    <row r="2058" spans="1:10" x14ac:dyDescent="0.35">
      <c r="A2058" t="str">
        <f t="shared" si="356"/>
        <v>JAN</v>
      </c>
      <c r="B2058" t="str">
        <f t="shared" si="357"/>
        <v>21</v>
      </c>
      <c r="C2058" t="str">
        <f t="shared" si="361"/>
        <v>2020/21</v>
      </c>
      <c r="D2058" t="str">
        <f t="shared" si="363"/>
        <v>SS SL 114875</v>
      </c>
      <c r="E2058" t="str">
        <f t="shared" si="362"/>
        <v>SS</v>
      </c>
      <c r="F2058" t="s">
        <v>25</v>
      </c>
      <c r="G2058" t="s">
        <v>22</v>
      </c>
      <c r="H2058">
        <v>2284.8000000000002</v>
      </c>
      <c r="I2058" t="str">
        <f t="shared" si="359"/>
        <v>Mencap Northern Division</v>
      </c>
      <c r="J2058" t="str">
        <f t="shared" si="364"/>
        <v>Forest House (Mencap) Voluntary Associations Agency And Contracted Services Supported Living Adult Health &amp; Social Care</v>
      </c>
    </row>
    <row r="2059" spans="1:10" x14ac:dyDescent="0.35">
      <c r="A2059" t="str">
        <f t="shared" si="356"/>
        <v>JAN</v>
      </c>
      <c r="B2059" t="str">
        <f t="shared" si="357"/>
        <v>21</v>
      </c>
      <c r="C2059" t="str">
        <f t="shared" si="361"/>
        <v>2020/21</v>
      </c>
      <c r="D2059" t="str">
        <f t="shared" si="363"/>
        <v>SS SL 114875</v>
      </c>
      <c r="E2059" t="str">
        <f t="shared" si="362"/>
        <v>SS</v>
      </c>
      <c r="F2059" t="s">
        <v>25</v>
      </c>
      <c r="G2059" t="s">
        <v>22</v>
      </c>
      <c r="H2059">
        <v>1859.2</v>
      </c>
      <c r="I2059" t="str">
        <f t="shared" si="359"/>
        <v>Mencap Northern Division</v>
      </c>
      <c r="J2059" t="str">
        <f t="shared" si="364"/>
        <v>Forest House (Mencap) Voluntary Associations Agency And Contracted Services Supported Living Adult Health &amp; Social Care</v>
      </c>
    </row>
    <row r="2060" spans="1:10" x14ac:dyDescent="0.35">
      <c r="A2060" t="str">
        <f t="shared" si="356"/>
        <v>JAN</v>
      </c>
      <c r="B2060" t="str">
        <f t="shared" si="357"/>
        <v>21</v>
      </c>
      <c r="C2060" t="str">
        <f t="shared" si="361"/>
        <v>2020/21</v>
      </c>
      <c r="D2060" t="str">
        <f t="shared" si="363"/>
        <v>SS SL 114875</v>
      </c>
      <c r="E2060" t="str">
        <f t="shared" si="362"/>
        <v>SS</v>
      </c>
      <c r="F2060" t="s">
        <v>25</v>
      </c>
      <c r="G2060" t="s">
        <v>22</v>
      </c>
      <c r="H2060">
        <v>2207.8000000000002</v>
      </c>
      <c r="I2060" t="str">
        <f t="shared" si="359"/>
        <v>Mencap Northern Division</v>
      </c>
      <c r="J2060" t="str">
        <f t="shared" si="364"/>
        <v>Forest House (Mencap) Voluntary Associations Agency And Contracted Services Supported Living Adult Health &amp; Social Care</v>
      </c>
    </row>
    <row r="2061" spans="1:10" x14ac:dyDescent="0.35">
      <c r="A2061" t="str">
        <f t="shared" si="356"/>
        <v>JAN</v>
      </c>
      <c r="B2061" t="str">
        <f t="shared" si="357"/>
        <v>21</v>
      </c>
      <c r="C2061" t="str">
        <f t="shared" si="361"/>
        <v>2020/21</v>
      </c>
      <c r="D2061" t="str">
        <f t="shared" si="363"/>
        <v>SS SL 114875</v>
      </c>
      <c r="E2061" t="str">
        <f t="shared" si="362"/>
        <v>SS</v>
      </c>
      <c r="F2061" t="s">
        <v>25</v>
      </c>
      <c r="G2061" t="s">
        <v>22</v>
      </c>
      <c r="H2061">
        <v>2207.8000000000002</v>
      </c>
      <c r="I2061" t="str">
        <f t="shared" si="359"/>
        <v>Mencap Northern Division</v>
      </c>
      <c r="J2061" t="str">
        <f t="shared" si="364"/>
        <v>Forest House (Mencap) Voluntary Associations Agency And Contracted Services Supported Living Adult Health &amp; Social Care</v>
      </c>
    </row>
    <row r="2062" spans="1:10" x14ac:dyDescent="0.35">
      <c r="A2062" t="str">
        <f t="shared" si="356"/>
        <v>JAN</v>
      </c>
      <c r="B2062" t="str">
        <f t="shared" si="357"/>
        <v>21</v>
      </c>
      <c r="C2062" t="str">
        <f t="shared" si="361"/>
        <v>2020/21</v>
      </c>
      <c r="D2062" t="str">
        <f t="shared" si="363"/>
        <v>SS SL 114875</v>
      </c>
      <c r="E2062" t="str">
        <f t="shared" si="362"/>
        <v>SS</v>
      </c>
      <c r="F2062" t="s">
        <v>25</v>
      </c>
      <c r="G2062" t="s">
        <v>22</v>
      </c>
      <c r="H2062">
        <v>2606.1999999999998</v>
      </c>
      <c r="I2062" t="str">
        <f t="shared" si="359"/>
        <v>Mencap Northern Division</v>
      </c>
      <c r="J2062" t="str">
        <f t="shared" si="364"/>
        <v>Forest House (Mencap) Voluntary Associations Agency And Contracted Services Supported Living Adult Health &amp; Social Care</v>
      </c>
    </row>
    <row r="2063" spans="1:10" x14ac:dyDescent="0.35">
      <c r="A2063" t="str">
        <f t="shared" si="356"/>
        <v>JAN</v>
      </c>
      <c r="B2063" t="str">
        <f t="shared" si="357"/>
        <v>21</v>
      </c>
      <c r="C2063" t="str">
        <f t="shared" si="361"/>
        <v>2020/21</v>
      </c>
      <c r="D2063" t="str">
        <f t="shared" si="363"/>
        <v>SS SL 114875</v>
      </c>
      <c r="E2063" t="str">
        <f t="shared" si="362"/>
        <v>SS</v>
      </c>
      <c r="F2063" t="s">
        <v>25</v>
      </c>
      <c r="G2063" t="s">
        <v>22</v>
      </c>
      <c r="H2063">
        <v>78.849999999999994</v>
      </c>
      <c r="I2063" t="str">
        <f t="shared" si="359"/>
        <v>Mencap Northern Division</v>
      </c>
      <c r="J2063" t="str">
        <f t="shared" si="364"/>
        <v>Forest House (Mencap) Voluntary Associations Agency And Contracted Services Supported Living Adult Health &amp; Social Care</v>
      </c>
    </row>
    <row r="2064" spans="1:10" x14ac:dyDescent="0.35">
      <c r="A2064" t="str">
        <f t="shared" si="356"/>
        <v>JAN</v>
      </c>
      <c r="B2064" t="str">
        <f t="shared" si="357"/>
        <v>21</v>
      </c>
      <c r="C2064" t="str">
        <f t="shared" si="361"/>
        <v>2020/21</v>
      </c>
      <c r="D2064" t="str">
        <f t="shared" si="363"/>
        <v>SS SL 114875</v>
      </c>
      <c r="E2064" t="str">
        <f t="shared" si="362"/>
        <v>SS</v>
      </c>
      <c r="F2064" t="s">
        <v>25</v>
      </c>
      <c r="G2064" t="s">
        <v>22</v>
      </c>
      <c r="H2064">
        <v>1859.2</v>
      </c>
      <c r="I2064" t="str">
        <f t="shared" si="359"/>
        <v>Mencap Northern Division</v>
      </c>
      <c r="J2064" t="str">
        <f t="shared" si="364"/>
        <v>Forest House (Mencap) Voluntary Associations Agency And Contracted Services Supported Living Adult Health &amp; Social Care</v>
      </c>
    </row>
    <row r="2065" spans="1:10" x14ac:dyDescent="0.35">
      <c r="A2065" t="str">
        <f t="shared" si="356"/>
        <v>JAN</v>
      </c>
      <c r="B2065" t="str">
        <f t="shared" si="357"/>
        <v>21</v>
      </c>
      <c r="C2065" t="str">
        <f t="shared" si="361"/>
        <v>2020/21</v>
      </c>
      <c r="D2065" t="str">
        <f t="shared" si="363"/>
        <v>SS SL 114875</v>
      </c>
      <c r="E2065" t="str">
        <f t="shared" si="362"/>
        <v>SS</v>
      </c>
      <c r="F2065" t="s">
        <v>25</v>
      </c>
      <c r="G2065" t="s">
        <v>22</v>
      </c>
      <c r="H2065">
        <v>2284.8000000000002</v>
      </c>
      <c r="I2065" t="str">
        <f t="shared" si="359"/>
        <v>Mencap Northern Division</v>
      </c>
      <c r="J2065" t="str">
        <f t="shared" si="364"/>
        <v>Forest House (Mencap) Voluntary Associations Agency And Contracted Services Supported Living Adult Health &amp; Social Care</v>
      </c>
    </row>
    <row r="2066" spans="1:10" x14ac:dyDescent="0.35">
      <c r="A2066" t="str">
        <f t="shared" si="356"/>
        <v>JAN</v>
      </c>
      <c r="B2066" t="str">
        <f t="shared" si="357"/>
        <v>21</v>
      </c>
      <c r="C2066" t="str">
        <f t="shared" si="361"/>
        <v>2020/21</v>
      </c>
      <c r="D2066" t="str">
        <f t="shared" ref="D2066:D2083" si="365">"SS SL 114909"</f>
        <v>SS SL 114909</v>
      </c>
      <c r="E2066" t="str">
        <f t="shared" si="362"/>
        <v>SS</v>
      </c>
      <c r="F2066" t="s">
        <v>25</v>
      </c>
      <c r="G2066" t="s">
        <v>22</v>
      </c>
      <c r="H2066">
        <v>3297.6</v>
      </c>
      <c r="I2066" t="str">
        <f t="shared" ref="I2066:I2109" si="366">"Possabilities CIC"</f>
        <v>Possabilities CIC</v>
      </c>
      <c r="J2066" t="str">
        <f t="shared" ref="J2066:J2083" si="367">"Vale Street (Possibilities) Voluntary Associations Agency And Contracted Services Supported Living Adult Health &amp; Social Care"</f>
        <v>Vale Street (Possibilities) Voluntary Associations Agency And Contracted Services Supported Living Adult Health &amp; Social Care</v>
      </c>
    </row>
    <row r="2067" spans="1:10" x14ac:dyDescent="0.35">
      <c r="A2067" t="str">
        <f t="shared" si="356"/>
        <v>JAN</v>
      </c>
      <c r="B2067" t="str">
        <f t="shared" si="357"/>
        <v>21</v>
      </c>
      <c r="C2067" t="str">
        <f t="shared" si="361"/>
        <v>2020/21</v>
      </c>
      <c r="D2067" t="str">
        <f t="shared" si="365"/>
        <v>SS SL 114909</v>
      </c>
      <c r="E2067" t="str">
        <f t="shared" si="362"/>
        <v>SS</v>
      </c>
      <c r="F2067" t="s">
        <v>25</v>
      </c>
      <c r="G2067" t="s">
        <v>22</v>
      </c>
      <c r="H2067">
        <v>3480.8</v>
      </c>
      <c r="I2067" t="str">
        <f t="shared" si="366"/>
        <v>Possabilities CIC</v>
      </c>
      <c r="J2067" t="str">
        <f t="shared" si="367"/>
        <v>Vale Street (Possibilities) Voluntary Associations Agency And Contracted Services Supported Living Adult Health &amp; Social Care</v>
      </c>
    </row>
    <row r="2068" spans="1:10" x14ac:dyDescent="0.35">
      <c r="A2068" t="str">
        <f t="shared" si="356"/>
        <v>JAN</v>
      </c>
      <c r="B2068" t="str">
        <f t="shared" si="357"/>
        <v>21</v>
      </c>
      <c r="C2068" t="str">
        <f t="shared" si="361"/>
        <v>2020/21</v>
      </c>
      <c r="D2068" t="str">
        <f t="shared" si="365"/>
        <v>SS SL 114909</v>
      </c>
      <c r="E2068" t="str">
        <f t="shared" si="362"/>
        <v>SS</v>
      </c>
      <c r="F2068" t="s">
        <v>25</v>
      </c>
      <c r="G2068" t="s">
        <v>22</v>
      </c>
      <c r="H2068">
        <v>3206</v>
      </c>
      <c r="I2068" t="str">
        <f t="shared" si="366"/>
        <v>Possabilities CIC</v>
      </c>
      <c r="J2068" t="str">
        <f t="shared" si="367"/>
        <v>Vale Street (Possibilities) Voluntary Associations Agency And Contracted Services Supported Living Adult Health &amp; Social Care</v>
      </c>
    </row>
    <row r="2069" spans="1:10" x14ac:dyDescent="0.35">
      <c r="A2069" t="str">
        <f t="shared" si="356"/>
        <v>JAN</v>
      </c>
      <c r="B2069" t="str">
        <f t="shared" si="357"/>
        <v>21</v>
      </c>
      <c r="C2069" t="str">
        <f t="shared" si="361"/>
        <v>2020/21</v>
      </c>
      <c r="D2069" t="str">
        <f t="shared" si="365"/>
        <v>SS SL 114909</v>
      </c>
      <c r="E2069" t="str">
        <f t="shared" si="362"/>
        <v>SS</v>
      </c>
      <c r="F2069" t="s">
        <v>25</v>
      </c>
      <c r="G2069" t="s">
        <v>22</v>
      </c>
      <c r="H2069">
        <v>3480.8</v>
      </c>
      <c r="I2069" t="str">
        <f t="shared" si="366"/>
        <v>Possabilities CIC</v>
      </c>
      <c r="J2069" t="str">
        <f t="shared" si="367"/>
        <v>Vale Street (Possibilities) Voluntary Associations Agency And Contracted Services Supported Living Adult Health &amp; Social Care</v>
      </c>
    </row>
    <row r="2070" spans="1:10" x14ac:dyDescent="0.35">
      <c r="A2070" t="str">
        <f t="shared" si="356"/>
        <v>JAN</v>
      </c>
      <c r="B2070" t="str">
        <f t="shared" si="357"/>
        <v>21</v>
      </c>
      <c r="C2070" t="str">
        <f t="shared" si="361"/>
        <v>2020/21</v>
      </c>
      <c r="D2070" t="str">
        <f t="shared" si="365"/>
        <v>SS SL 114909</v>
      </c>
      <c r="E2070" t="str">
        <f t="shared" si="362"/>
        <v>SS</v>
      </c>
      <c r="F2070" t="s">
        <v>25</v>
      </c>
      <c r="G2070" t="s">
        <v>22</v>
      </c>
      <c r="H2070">
        <v>3480.8</v>
      </c>
      <c r="I2070" t="str">
        <f t="shared" si="366"/>
        <v>Possabilities CIC</v>
      </c>
      <c r="J2070" t="str">
        <f t="shared" si="367"/>
        <v>Vale Street (Possibilities) Voluntary Associations Agency And Contracted Services Supported Living Adult Health &amp; Social Care</v>
      </c>
    </row>
    <row r="2071" spans="1:10" x14ac:dyDescent="0.35">
      <c r="A2071" t="str">
        <f t="shared" si="356"/>
        <v>JAN</v>
      </c>
      <c r="B2071" t="str">
        <f t="shared" si="357"/>
        <v>21</v>
      </c>
      <c r="C2071" t="str">
        <f t="shared" si="361"/>
        <v>2020/21</v>
      </c>
      <c r="D2071" t="str">
        <f t="shared" si="365"/>
        <v>SS SL 114909</v>
      </c>
      <c r="E2071" t="str">
        <f t="shared" si="362"/>
        <v>SS</v>
      </c>
      <c r="F2071" t="s">
        <v>25</v>
      </c>
      <c r="G2071" t="s">
        <v>22</v>
      </c>
      <c r="H2071">
        <v>1533</v>
      </c>
      <c r="I2071" t="str">
        <f t="shared" si="366"/>
        <v>Possabilities CIC</v>
      </c>
      <c r="J2071" t="str">
        <f t="shared" si="367"/>
        <v>Vale Street (Possibilities) Voluntary Associations Agency And Contracted Services Supported Living Adult Health &amp; Social Care</v>
      </c>
    </row>
    <row r="2072" spans="1:10" x14ac:dyDescent="0.35">
      <c r="A2072" t="str">
        <f t="shared" si="356"/>
        <v>JAN</v>
      </c>
      <c r="B2072" t="str">
        <f t="shared" si="357"/>
        <v>21</v>
      </c>
      <c r="C2072" t="str">
        <f t="shared" si="361"/>
        <v>2020/21</v>
      </c>
      <c r="D2072" t="str">
        <f t="shared" si="365"/>
        <v>SS SL 114909</v>
      </c>
      <c r="E2072" t="str">
        <f t="shared" si="362"/>
        <v>SS</v>
      </c>
      <c r="F2072" t="s">
        <v>25</v>
      </c>
      <c r="G2072" t="s">
        <v>22</v>
      </c>
      <c r="H2072">
        <v>3480.8</v>
      </c>
      <c r="I2072" t="str">
        <f t="shared" si="366"/>
        <v>Possabilities CIC</v>
      </c>
      <c r="J2072" t="str">
        <f t="shared" si="367"/>
        <v>Vale Street (Possibilities) Voluntary Associations Agency And Contracted Services Supported Living Adult Health &amp; Social Care</v>
      </c>
    </row>
    <row r="2073" spans="1:10" x14ac:dyDescent="0.35">
      <c r="A2073" t="str">
        <f t="shared" si="356"/>
        <v>JAN</v>
      </c>
      <c r="B2073" t="str">
        <f t="shared" si="357"/>
        <v>21</v>
      </c>
      <c r="C2073" t="str">
        <f t="shared" si="361"/>
        <v>2020/21</v>
      </c>
      <c r="D2073" t="str">
        <f t="shared" si="365"/>
        <v>SS SL 114909</v>
      </c>
      <c r="E2073" t="str">
        <f t="shared" si="362"/>
        <v>SS</v>
      </c>
      <c r="F2073" t="s">
        <v>25</v>
      </c>
      <c r="G2073" t="s">
        <v>22</v>
      </c>
      <c r="H2073">
        <v>1533</v>
      </c>
      <c r="I2073" t="str">
        <f t="shared" si="366"/>
        <v>Possabilities CIC</v>
      </c>
      <c r="J2073" t="str">
        <f t="shared" si="367"/>
        <v>Vale Street (Possibilities) Voluntary Associations Agency And Contracted Services Supported Living Adult Health &amp; Social Care</v>
      </c>
    </row>
    <row r="2074" spans="1:10" x14ac:dyDescent="0.35">
      <c r="A2074" t="str">
        <f t="shared" si="356"/>
        <v>JAN</v>
      </c>
      <c r="B2074" t="str">
        <f t="shared" si="357"/>
        <v>21</v>
      </c>
      <c r="C2074" t="str">
        <f t="shared" si="361"/>
        <v>2020/21</v>
      </c>
      <c r="D2074" t="str">
        <f t="shared" si="365"/>
        <v>SS SL 114909</v>
      </c>
      <c r="E2074" t="str">
        <f t="shared" si="362"/>
        <v>SS</v>
      </c>
      <c r="F2074" t="s">
        <v>25</v>
      </c>
      <c r="G2074" t="s">
        <v>22</v>
      </c>
      <c r="H2074">
        <v>3297.6</v>
      </c>
      <c r="I2074" t="str">
        <f t="shared" si="366"/>
        <v>Possabilities CIC</v>
      </c>
      <c r="J2074" t="str">
        <f t="shared" si="367"/>
        <v>Vale Street (Possibilities) Voluntary Associations Agency And Contracted Services Supported Living Adult Health &amp; Social Care</v>
      </c>
    </row>
    <row r="2075" spans="1:10" x14ac:dyDescent="0.35">
      <c r="A2075" t="str">
        <f t="shared" si="356"/>
        <v>JAN</v>
      </c>
      <c r="B2075" t="str">
        <f t="shared" si="357"/>
        <v>21</v>
      </c>
      <c r="C2075" t="str">
        <f t="shared" si="361"/>
        <v>2020/21</v>
      </c>
      <c r="D2075" t="str">
        <f t="shared" si="365"/>
        <v>SS SL 114909</v>
      </c>
      <c r="E2075" t="str">
        <f t="shared" si="362"/>
        <v>SS</v>
      </c>
      <c r="F2075" t="s">
        <v>25</v>
      </c>
      <c r="G2075" t="s">
        <v>22</v>
      </c>
      <c r="H2075">
        <v>3480.8</v>
      </c>
      <c r="I2075" t="str">
        <f t="shared" si="366"/>
        <v>Possabilities CIC</v>
      </c>
      <c r="J2075" t="str">
        <f t="shared" si="367"/>
        <v>Vale Street (Possibilities) Voluntary Associations Agency And Contracted Services Supported Living Adult Health &amp; Social Care</v>
      </c>
    </row>
    <row r="2076" spans="1:10" x14ac:dyDescent="0.35">
      <c r="A2076" t="str">
        <f t="shared" si="356"/>
        <v>JAN</v>
      </c>
      <c r="B2076" t="str">
        <f t="shared" si="357"/>
        <v>21</v>
      </c>
      <c r="C2076" t="str">
        <f t="shared" si="361"/>
        <v>2020/21</v>
      </c>
      <c r="D2076" t="str">
        <f t="shared" si="365"/>
        <v>SS SL 114909</v>
      </c>
      <c r="E2076" t="str">
        <f t="shared" si="362"/>
        <v>SS</v>
      </c>
      <c r="F2076" t="s">
        <v>25</v>
      </c>
      <c r="G2076" t="s">
        <v>22</v>
      </c>
      <c r="H2076">
        <v>3206</v>
      </c>
      <c r="I2076" t="str">
        <f t="shared" si="366"/>
        <v>Possabilities CIC</v>
      </c>
      <c r="J2076" t="str">
        <f t="shared" si="367"/>
        <v>Vale Street (Possibilities) Voluntary Associations Agency And Contracted Services Supported Living Adult Health &amp; Social Care</v>
      </c>
    </row>
    <row r="2077" spans="1:10" x14ac:dyDescent="0.35">
      <c r="A2077" t="str">
        <f t="shared" si="356"/>
        <v>JAN</v>
      </c>
      <c r="B2077" t="str">
        <f t="shared" si="357"/>
        <v>21</v>
      </c>
      <c r="C2077" t="str">
        <f t="shared" si="361"/>
        <v>2020/21</v>
      </c>
      <c r="D2077" t="str">
        <f t="shared" si="365"/>
        <v>SS SL 114909</v>
      </c>
      <c r="E2077" t="str">
        <f t="shared" si="362"/>
        <v>SS</v>
      </c>
      <c r="F2077" t="s">
        <v>25</v>
      </c>
      <c r="G2077" t="s">
        <v>22</v>
      </c>
      <c r="H2077">
        <v>3480.8</v>
      </c>
      <c r="I2077" t="str">
        <f t="shared" si="366"/>
        <v>Possabilities CIC</v>
      </c>
      <c r="J2077" t="str">
        <f t="shared" si="367"/>
        <v>Vale Street (Possibilities) Voluntary Associations Agency And Contracted Services Supported Living Adult Health &amp; Social Care</v>
      </c>
    </row>
    <row r="2078" spans="1:10" x14ac:dyDescent="0.35">
      <c r="A2078" t="str">
        <f t="shared" si="356"/>
        <v>JAN</v>
      </c>
      <c r="B2078" t="str">
        <f t="shared" si="357"/>
        <v>21</v>
      </c>
      <c r="C2078" t="str">
        <f t="shared" si="361"/>
        <v>2020/21</v>
      </c>
      <c r="D2078" t="str">
        <f t="shared" si="365"/>
        <v>SS SL 114909</v>
      </c>
      <c r="E2078" t="str">
        <f t="shared" si="362"/>
        <v>SS</v>
      </c>
      <c r="F2078" t="s">
        <v>25</v>
      </c>
      <c r="G2078" t="s">
        <v>22</v>
      </c>
      <c r="H2078">
        <v>3480.8</v>
      </c>
      <c r="I2078" t="str">
        <f t="shared" si="366"/>
        <v>Possabilities CIC</v>
      </c>
      <c r="J2078" t="str">
        <f t="shared" si="367"/>
        <v>Vale Street (Possibilities) Voluntary Associations Agency And Contracted Services Supported Living Adult Health &amp; Social Care</v>
      </c>
    </row>
    <row r="2079" spans="1:10" x14ac:dyDescent="0.35">
      <c r="A2079" t="str">
        <f t="shared" si="356"/>
        <v>JAN</v>
      </c>
      <c r="B2079" t="str">
        <f t="shared" si="357"/>
        <v>21</v>
      </c>
      <c r="C2079" t="str">
        <f t="shared" si="361"/>
        <v>2020/21</v>
      </c>
      <c r="D2079" t="str">
        <f t="shared" si="365"/>
        <v>SS SL 114909</v>
      </c>
      <c r="E2079" t="str">
        <f t="shared" si="362"/>
        <v>SS</v>
      </c>
      <c r="F2079" t="s">
        <v>25</v>
      </c>
      <c r="G2079" t="s">
        <v>22</v>
      </c>
      <c r="H2079">
        <v>3297.6</v>
      </c>
      <c r="I2079" t="str">
        <f t="shared" si="366"/>
        <v>Possabilities CIC</v>
      </c>
      <c r="J2079" t="str">
        <f t="shared" si="367"/>
        <v>Vale Street (Possibilities) Voluntary Associations Agency And Contracted Services Supported Living Adult Health &amp; Social Care</v>
      </c>
    </row>
    <row r="2080" spans="1:10" x14ac:dyDescent="0.35">
      <c r="A2080" t="str">
        <f t="shared" si="356"/>
        <v>JAN</v>
      </c>
      <c r="B2080" t="str">
        <f t="shared" si="357"/>
        <v>21</v>
      </c>
      <c r="C2080" t="str">
        <f t="shared" si="361"/>
        <v>2020/21</v>
      </c>
      <c r="D2080" t="str">
        <f t="shared" si="365"/>
        <v>SS SL 114909</v>
      </c>
      <c r="E2080" t="str">
        <f t="shared" si="362"/>
        <v>SS</v>
      </c>
      <c r="F2080" t="s">
        <v>25</v>
      </c>
      <c r="G2080" t="s">
        <v>22</v>
      </c>
      <c r="H2080">
        <v>3206</v>
      </c>
      <c r="I2080" t="str">
        <f t="shared" si="366"/>
        <v>Possabilities CIC</v>
      </c>
      <c r="J2080" t="str">
        <f t="shared" si="367"/>
        <v>Vale Street (Possibilities) Voluntary Associations Agency And Contracted Services Supported Living Adult Health &amp; Social Care</v>
      </c>
    </row>
    <row r="2081" spans="1:10" x14ac:dyDescent="0.35">
      <c r="A2081" t="str">
        <f t="shared" si="356"/>
        <v>JAN</v>
      </c>
      <c r="B2081" t="str">
        <f t="shared" si="357"/>
        <v>21</v>
      </c>
      <c r="C2081" t="str">
        <f t="shared" si="361"/>
        <v>2020/21</v>
      </c>
      <c r="D2081" t="str">
        <f t="shared" si="365"/>
        <v>SS SL 114909</v>
      </c>
      <c r="E2081" t="str">
        <f t="shared" si="362"/>
        <v>SS</v>
      </c>
      <c r="F2081" t="s">
        <v>25</v>
      </c>
      <c r="G2081" t="s">
        <v>22</v>
      </c>
      <c r="H2081">
        <v>3480.8</v>
      </c>
      <c r="I2081" t="str">
        <f t="shared" si="366"/>
        <v>Possabilities CIC</v>
      </c>
      <c r="J2081" t="str">
        <f t="shared" si="367"/>
        <v>Vale Street (Possibilities) Voluntary Associations Agency And Contracted Services Supported Living Adult Health &amp; Social Care</v>
      </c>
    </row>
    <row r="2082" spans="1:10" x14ac:dyDescent="0.35">
      <c r="A2082" t="str">
        <f t="shared" si="356"/>
        <v>JAN</v>
      </c>
      <c r="B2082" t="str">
        <f t="shared" si="357"/>
        <v>21</v>
      </c>
      <c r="C2082" t="str">
        <f t="shared" si="361"/>
        <v>2020/21</v>
      </c>
      <c r="D2082" t="str">
        <f t="shared" si="365"/>
        <v>SS SL 114909</v>
      </c>
      <c r="E2082" t="str">
        <f t="shared" si="362"/>
        <v>SS</v>
      </c>
      <c r="F2082" t="s">
        <v>25</v>
      </c>
      <c r="G2082" t="s">
        <v>22</v>
      </c>
      <c r="H2082">
        <v>3480.8</v>
      </c>
      <c r="I2082" t="str">
        <f t="shared" si="366"/>
        <v>Possabilities CIC</v>
      </c>
      <c r="J2082" t="str">
        <f t="shared" si="367"/>
        <v>Vale Street (Possibilities) Voluntary Associations Agency And Contracted Services Supported Living Adult Health &amp; Social Care</v>
      </c>
    </row>
    <row r="2083" spans="1:10" x14ac:dyDescent="0.35">
      <c r="A2083" t="str">
        <f t="shared" si="356"/>
        <v>JAN</v>
      </c>
      <c r="B2083" t="str">
        <f t="shared" si="357"/>
        <v>21</v>
      </c>
      <c r="C2083" t="str">
        <f t="shared" si="361"/>
        <v>2020/21</v>
      </c>
      <c r="D2083" t="str">
        <f t="shared" si="365"/>
        <v>SS SL 114909</v>
      </c>
      <c r="E2083" t="str">
        <f t="shared" si="362"/>
        <v>SS</v>
      </c>
      <c r="F2083" t="s">
        <v>25</v>
      </c>
      <c r="G2083" t="s">
        <v>22</v>
      </c>
      <c r="H2083">
        <v>1533</v>
      </c>
      <c r="I2083" t="str">
        <f t="shared" si="366"/>
        <v>Possabilities CIC</v>
      </c>
      <c r="J2083" t="str">
        <f t="shared" si="367"/>
        <v>Vale Street (Possibilities) Voluntary Associations Agency And Contracted Services Supported Living Adult Health &amp; Social Care</v>
      </c>
    </row>
    <row r="2084" spans="1:10" x14ac:dyDescent="0.35">
      <c r="A2084" t="str">
        <f t="shared" si="356"/>
        <v>JAN</v>
      </c>
      <c r="B2084" t="str">
        <f t="shared" si="357"/>
        <v>21</v>
      </c>
      <c r="C2084" t="str">
        <f t="shared" si="361"/>
        <v>2020/21</v>
      </c>
      <c r="D2084" t="str">
        <f t="shared" ref="D2084:D2092" si="368">"SS SL 114907"</f>
        <v>SS SL 114907</v>
      </c>
      <c r="E2084" t="str">
        <f t="shared" si="362"/>
        <v>SS</v>
      </c>
      <c r="F2084" t="s">
        <v>25</v>
      </c>
      <c r="G2084" t="s">
        <v>22</v>
      </c>
      <c r="H2084">
        <v>5679.2</v>
      </c>
      <c r="I2084" t="str">
        <f t="shared" si="366"/>
        <v>Possabilities CIC</v>
      </c>
      <c r="J2084" t="str">
        <f t="shared" ref="J2084:J2092" si="369"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2085" spans="1:10" x14ac:dyDescent="0.35">
      <c r="A2085" t="str">
        <f t="shared" si="356"/>
        <v>JAN</v>
      </c>
      <c r="B2085" t="str">
        <f t="shared" si="357"/>
        <v>21</v>
      </c>
      <c r="C2085" t="str">
        <f t="shared" si="361"/>
        <v>2020/21</v>
      </c>
      <c r="D2085" t="str">
        <f t="shared" si="368"/>
        <v>SS SL 114907</v>
      </c>
      <c r="E2085" t="str">
        <f t="shared" si="362"/>
        <v>SS</v>
      </c>
      <c r="F2085" t="s">
        <v>25</v>
      </c>
      <c r="G2085" t="s">
        <v>22</v>
      </c>
      <c r="H2085">
        <v>1533</v>
      </c>
      <c r="I2085" t="str">
        <f t="shared" si="366"/>
        <v>Possabilities CIC</v>
      </c>
      <c r="J2085" t="str">
        <f t="shared" si="369"/>
        <v>Dale Avenue (Possibilities) Voluntary Associations Agency And Contracted Services Supported Living Adult Health &amp; Social Care</v>
      </c>
    </row>
    <row r="2086" spans="1:10" x14ac:dyDescent="0.35">
      <c r="A2086" t="str">
        <f t="shared" si="356"/>
        <v>JAN</v>
      </c>
      <c r="B2086" t="str">
        <f t="shared" si="357"/>
        <v>21</v>
      </c>
      <c r="C2086" t="str">
        <f t="shared" si="361"/>
        <v>2020/21</v>
      </c>
      <c r="D2086" t="str">
        <f t="shared" si="368"/>
        <v>SS SL 114907</v>
      </c>
      <c r="E2086" t="str">
        <f t="shared" si="362"/>
        <v>SS</v>
      </c>
      <c r="F2086" t="s">
        <v>25</v>
      </c>
      <c r="G2086" t="s">
        <v>22</v>
      </c>
      <c r="H2086">
        <v>6595.2</v>
      </c>
      <c r="I2086" t="str">
        <f t="shared" si="366"/>
        <v>Possabilities CIC</v>
      </c>
      <c r="J2086" t="str">
        <f t="shared" si="369"/>
        <v>Dale Avenue (Possibilities) Voluntary Associations Agency And Contracted Services Supported Living Adult Health &amp; Social Care</v>
      </c>
    </row>
    <row r="2087" spans="1:10" x14ac:dyDescent="0.35">
      <c r="A2087" t="str">
        <f t="shared" si="356"/>
        <v>JAN</v>
      </c>
      <c r="B2087" t="str">
        <f t="shared" si="357"/>
        <v>21</v>
      </c>
      <c r="C2087" t="str">
        <f t="shared" si="361"/>
        <v>2020/21</v>
      </c>
      <c r="D2087" t="str">
        <f t="shared" si="368"/>
        <v>SS SL 114907</v>
      </c>
      <c r="E2087" t="str">
        <f t="shared" si="362"/>
        <v>SS</v>
      </c>
      <c r="F2087" t="s">
        <v>25</v>
      </c>
      <c r="G2087" t="s">
        <v>22</v>
      </c>
      <c r="H2087">
        <v>5679.2</v>
      </c>
      <c r="I2087" t="str">
        <f t="shared" si="366"/>
        <v>Possabilities CIC</v>
      </c>
      <c r="J2087" t="str">
        <f t="shared" si="369"/>
        <v>Dale Avenue (Possibilities) Voluntary Associations Agency And Contracted Services Supported Living Adult Health &amp; Social Care</v>
      </c>
    </row>
    <row r="2088" spans="1:10" x14ac:dyDescent="0.35">
      <c r="A2088" t="str">
        <f t="shared" si="356"/>
        <v>JAN</v>
      </c>
      <c r="B2088" t="str">
        <f t="shared" si="357"/>
        <v>21</v>
      </c>
      <c r="C2088" t="str">
        <f t="shared" si="361"/>
        <v>2020/21</v>
      </c>
      <c r="D2088" t="str">
        <f t="shared" si="368"/>
        <v>SS SL 114907</v>
      </c>
      <c r="E2088" t="str">
        <f t="shared" si="362"/>
        <v>SS</v>
      </c>
      <c r="F2088" t="s">
        <v>25</v>
      </c>
      <c r="G2088" t="s">
        <v>22</v>
      </c>
      <c r="H2088">
        <v>6595.2</v>
      </c>
      <c r="I2088" t="str">
        <f t="shared" si="366"/>
        <v>Possabilities CIC</v>
      </c>
      <c r="J2088" t="str">
        <f t="shared" si="369"/>
        <v>Dale Avenue (Possibilities) Voluntary Associations Agency And Contracted Services Supported Living Adult Health &amp; Social Care</v>
      </c>
    </row>
    <row r="2089" spans="1:10" x14ac:dyDescent="0.35">
      <c r="A2089" t="str">
        <f t="shared" si="356"/>
        <v>JAN</v>
      </c>
      <c r="B2089" t="str">
        <f t="shared" si="357"/>
        <v>21</v>
      </c>
      <c r="C2089" t="str">
        <f t="shared" si="361"/>
        <v>2020/21</v>
      </c>
      <c r="D2089" t="str">
        <f t="shared" si="368"/>
        <v>SS SL 114907</v>
      </c>
      <c r="E2089" t="str">
        <f t="shared" si="362"/>
        <v>SS</v>
      </c>
      <c r="F2089" t="s">
        <v>25</v>
      </c>
      <c r="G2089" t="s">
        <v>22</v>
      </c>
      <c r="H2089">
        <v>1533</v>
      </c>
      <c r="I2089" t="str">
        <f t="shared" si="366"/>
        <v>Possabilities CIC</v>
      </c>
      <c r="J2089" t="str">
        <f t="shared" si="369"/>
        <v>Dale Avenue (Possibilities) Voluntary Associations Agency And Contracted Services Supported Living Adult Health &amp; Social Care</v>
      </c>
    </row>
    <row r="2090" spans="1:10" x14ac:dyDescent="0.35">
      <c r="A2090" t="str">
        <f t="shared" si="356"/>
        <v>JAN</v>
      </c>
      <c r="B2090" t="str">
        <f t="shared" si="357"/>
        <v>21</v>
      </c>
      <c r="C2090" t="str">
        <f t="shared" si="361"/>
        <v>2020/21</v>
      </c>
      <c r="D2090" t="str">
        <f t="shared" si="368"/>
        <v>SS SL 114907</v>
      </c>
      <c r="E2090" t="str">
        <f t="shared" si="362"/>
        <v>SS</v>
      </c>
      <c r="F2090" t="s">
        <v>25</v>
      </c>
      <c r="G2090" t="s">
        <v>22</v>
      </c>
      <c r="H2090">
        <v>6595.2</v>
      </c>
      <c r="I2090" t="str">
        <f t="shared" si="366"/>
        <v>Possabilities CIC</v>
      </c>
      <c r="J2090" t="str">
        <f t="shared" si="369"/>
        <v>Dale Avenue (Possibilities) Voluntary Associations Agency And Contracted Services Supported Living Adult Health &amp; Social Care</v>
      </c>
    </row>
    <row r="2091" spans="1:10" x14ac:dyDescent="0.35">
      <c r="A2091" t="str">
        <f t="shared" si="356"/>
        <v>JAN</v>
      </c>
      <c r="B2091" t="str">
        <f t="shared" si="357"/>
        <v>21</v>
      </c>
      <c r="C2091" t="str">
        <f t="shared" si="361"/>
        <v>2020/21</v>
      </c>
      <c r="D2091" t="str">
        <f t="shared" si="368"/>
        <v>SS SL 114907</v>
      </c>
      <c r="E2091" t="str">
        <f t="shared" si="362"/>
        <v>SS</v>
      </c>
      <c r="F2091" t="s">
        <v>25</v>
      </c>
      <c r="G2091" t="s">
        <v>22</v>
      </c>
      <c r="H2091">
        <v>5679.2</v>
      </c>
      <c r="I2091" t="str">
        <f t="shared" si="366"/>
        <v>Possabilities CIC</v>
      </c>
      <c r="J2091" t="str">
        <f t="shared" si="369"/>
        <v>Dale Avenue (Possibilities) Voluntary Associations Agency And Contracted Services Supported Living Adult Health &amp; Social Care</v>
      </c>
    </row>
    <row r="2092" spans="1:10" x14ac:dyDescent="0.35">
      <c r="A2092" t="str">
        <f t="shared" si="356"/>
        <v>JAN</v>
      </c>
      <c r="B2092" t="str">
        <f t="shared" si="357"/>
        <v>21</v>
      </c>
      <c r="C2092" t="str">
        <f t="shared" si="361"/>
        <v>2020/21</v>
      </c>
      <c r="D2092" t="str">
        <f t="shared" si="368"/>
        <v>SS SL 114907</v>
      </c>
      <c r="E2092" t="str">
        <f t="shared" si="362"/>
        <v>SS</v>
      </c>
      <c r="F2092" t="s">
        <v>25</v>
      </c>
      <c r="G2092" t="s">
        <v>22</v>
      </c>
      <c r="H2092">
        <v>1533</v>
      </c>
      <c r="I2092" t="str">
        <f t="shared" si="366"/>
        <v>Possabilities CIC</v>
      </c>
      <c r="J2092" t="str">
        <f t="shared" si="369"/>
        <v>Dale Avenue (Possibilities) Voluntary Associations Agency And Contracted Services Supported Living Adult Health &amp; Social Care</v>
      </c>
    </row>
    <row r="2093" spans="1:10" x14ac:dyDescent="0.35">
      <c r="A2093" t="str">
        <f t="shared" si="356"/>
        <v>JAN</v>
      </c>
      <c r="B2093" t="str">
        <f t="shared" si="357"/>
        <v>21</v>
      </c>
      <c r="C2093" t="str">
        <f t="shared" si="361"/>
        <v>2020/21</v>
      </c>
      <c r="D2093" t="str">
        <f t="shared" ref="D2093:D2109" si="370">"SS SL 114908"</f>
        <v>SS SL 114908</v>
      </c>
      <c r="E2093" t="str">
        <f t="shared" si="362"/>
        <v>SS</v>
      </c>
      <c r="F2093" t="s">
        <v>25</v>
      </c>
      <c r="G2093" t="s">
        <v>22</v>
      </c>
      <c r="H2093">
        <v>4259.3999999999996</v>
      </c>
      <c r="I2093" t="str">
        <f t="shared" si="366"/>
        <v>Possabilities CIC</v>
      </c>
      <c r="J2093" t="str">
        <f t="shared" ref="J2093:J2109" si="371"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094" spans="1:10" x14ac:dyDescent="0.35">
      <c r="A2094" t="str">
        <f t="shared" si="356"/>
        <v>JAN</v>
      </c>
      <c r="B2094" t="str">
        <f t="shared" si="357"/>
        <v>21</v>
      </c>
      <c r="C2094" t="str">
        <f t="shared" si="361"/>
        <v>2020/21</v>
      </c>
      <c r="D2094" t="str">
        <f t="shared" si="370"/>
        <v>SS SL 114908</v>
      </c>
      <c r="E2094" t="str">
        <f t="shared" si="362"/>
        <v>SS</v>
      </c>
      <c r="F2094" t="s">
        <v>25</v>
      </c>
      <c r="G2094" t="s">
        <v>22</v>
      </c>
      <c r="H2094">
        <v>1533</v>
      </c>
      <c r="I2094" t="str">
        <f t="shared" si="366"/>
        <v>Possabilities CIC</v>
      </c>
      <c r="J2094" t="str">
        <f t="shared" si="371"/>
        <v>Oakhill Lodge (Possibilities) Voluntary Associations Agency And Contracted Services Supported Living Adult Health &amp; Social Care</v>
      </c>
    </row>
    <row r="2095" spans="1:10" x14ac:dyDescent="0.35">
      <c r="A2095" t="str">
        <f t="shared" si="356"/>
        <v>JAN</v>
      </c>
      <c r="B2095" t="str">
        <f t="shared" si="357"/>
        <v>21</v>
      </c>
      <c r="C2095" t="str">
        <f t="shared" si="361"/>
        <v>2020/21</v>
      </c>
      <c r="D2095" t="str">
        <f t="shared" si="370"/>
        <v>SS SL 114908</v>
      </c>
      <c r="E2095" t="str">
        <f t="shared" si="362"/>
        <v>SS</v>
      </c>
      <c r="F2095" t="s">
        <v>25</v>
      </c>
      <c r="G2095" t="s">
        <v>22</v>
      </c>
      <c r="H2095">
        <v>4259.3999999999996</v>
      </c>
      <c r="I2095" t="str">
        <f t="shared" si="366"/>
        <v>Possabilities CIC</v>
      </c>
      <c r="J2095" t="str">
        <f t="shared" si="371"/>
        <v>Oakhill Lodge (Possibilities) Voluntary Associations Agency And Contracted Services Supported Living Adult Health &amp; Social Care</v>
      </c>
    </row>
    <row r="2096" spans="1:10" x14ac:dyDescent="0.35">
      <c r="A2096" t="str">
        <f t="shared" si="356"/>
        <v>JAN</v>
      </c>
      <c r="B2096" t="str">
        <f t="shared" si="357"/>
        <v>21</v>
      </c>
      <c r="C2096" t="str">
        <f t="shared" si="361"/>
        <v>2020/21</v>
      </c>
      <c r="D2096" t="str">
        <f t="shared" si="370"/>
        <v>SS SL 114908</v>
      </c>
      <c r="E2096" t="str">
        <f t="shared" si="362"/>
        <v>SS</v>
      </c>
      <c r="F2096" t="s">
        <v>25</v>
      </c>
      <c r="G2096" t="s">
        <v>22</v>
      </c>
      <c r="H2096">
        <v>-0.72</v>
      </c>
      <c r="I2096" t="str">
        <f t="shared" si="366"/>
        <v>Possabilities CIC</v>
      </c>
      <c r="J2096" t="str">
        <f t="shared" si="371"/>
        <v>Oakhill Lodge (Possibilities) Voluntary Associations Agency And Contracted Services Supported Living Adult Health &amp; Social Care</v>
      </c>
    </row>
    <row r="2097" spans="1:10" x14ac:dyDescent="0.35">
      <c r="A2097" t="str">
        <f t="shared" si="356"/>
        <v>JAN</v>
      </c>
      <c r="B2097" t="str">
        <f t="shared" si="357"/>
        <v>21</v>
      </c>
      <c r="C2097" t="str">
        <f t="shared" si="361"/>
        <v>2020/21</v>
      </c>
      <c r="D2097" t="str">
        <f t="shared" si="370"/>
        <v>SS SL 114908</v>
      </c>
      <c r="E2097" t="str">
        <f t="shared" si="362"/>
        <v>SS</v>
      </c>
      <c r="F2097" t="s">
        <v>25</v>
      </c>
      <c r="G2097" t="s">
        <v>22</v>
      </c>
      <c r="H2097">
        <v>4259.3999999999996</v>
      </c>
      <c r="I2097" t="str">
        <f t="shared" si="366"/>
        <v>Possabilities CIC</v>
      </c>
      <c r="J2097" t="str">
        <f t="shared" si="371"/>
        <v>Oakhill Lodge (Possibilities) Voluntary Associations Agency And Contracted Services Supported Living Adult Health &amp; Social Care</v>
      </c>
    </row>
    <row r="2098" spans="1:10" x14ac:dyDescent="0.35">
      <c r="A2098" t="str">
        <f t="shared" si="356"/>
        <v>JAN</v>
      </c>
      <c r="B2098" t="str">
        <f t="shared" si="357"/>
        <v>21</v>
      </c>
      <c r="C2098" t="str">
        <f t="shared" si="361"/>
        <v>2020/21</v>
      </c>
      <c r="D2098" t="str">
        <f t="shared" si="370"/>
        <v>SS SL 114908</v>
      </c>
      <c r="E2098" t="str">
        <f t="shared" si="362"/>
        <v>SS</v>
      </c>
      <c r="F2098" t="s">
        <v>25</v>
      </c>
      <c r="G2098" t="s">
        <v>22</v>
      </c>
      <c r="H2098">
        <v>2565.52</v>
      </c>
      <c r="I2098" t="str">
        <f t="shared" si="366"/>
        <v>Possabilities CIC</v>
      </c>
      <c r="J2098" t="str">
        <f t="shared" si="371"/>
        <v>Oakhill Lodge (Possibilities) Voluntary Associations Agency And Contracted Services Supported Living Adult Health &amp; Social Care</v>
      </c>
    </row>
    <row r="2099" spans="1:10" x14ac:dyDescent="0.35">
      <c r="A2099" t="str">
        <f t="shared" ref="A2099:A2162" si="372">"JAN"</f>
        <v>JAN</v>
      </c>
      <c r="B2099" t="str">
        <f t="shared" ref="B2099:B2162" si="373">"21"</f>
        <v>21</v>
      </c>
      <c r="C2099" t="str">
        <f t="shared" si="361"/>
        <v>2020/21</v>
      </c>
      <c r="D2099" t="str">
        <f t="shared" si="370"/>
        <v>SS SL 114908</v>
      </c>
      <c r="E2099" t="str">
        <f t="shared" si="362"/>
        <v>SS</v>
      </c>
      <c r="F2099" t="s">
        <v>25</v>
      </c>
      <c r="G2099" t="s">
        <v>22</v>
      </c>
      <c r="H2099">
        <v>1533</v>
      </c>
      <c r="I2099" t="str">
        <f t="shared" si="366"/>
        <v>Possabilities CIC</v>
      </c>
      <c r="J2099" t="str">
        <f t="shared" si="371"/>
        <v>Oakhill Lodge (Possibilities) Voluntary Associations Agency And Contracted Services Supported Living Adult Health &amp; Social Care</v>
      </c>
    </row>
    <row r="2100" spans="1:10" x14ac:dyDescent="0.35">
      <c r="A2100" t="str">
        <f t="shared" si="372"/>
        <v>JAN</v>
      </c>
      <c r="B2100" t="str">
        <f t="shared" si="373"/>
        <v>21</v>
      </c>
      <c r="C2100" t="str">
        <f t="shared" si="361"/>
        <v>2020/21</v>
      </c>
      <c r="D2100" t="str">
        <f t="shared" si="370"/>
        <v>SS SL 114908</v>
      </c>
      <c r="E2100" t="str">
        <f t="shared" si="362"/>
        <v>SS</v>
      </c>
      <c r="F2100" t="s">
        <v>25</v>
      </c>
      <c r="G2100" t="s">
        <v>22</v>
      </c>
      <c r="H2100">
        <v>4259.3999999999996</v>
      </c>
      <c r="I2100" t="str">
        <f t="shared" si="366"/>
        <v>Possabilities CIC</v>
      </c>
      <c r="J2100" t="str">
        <f t="shared" si="371"/>
        <v>Oakhill Lodge (Possibilities) Voluntary Associations Agency And Contracted Services Supported Living Adult Health &amp; Social Care</v>
      </c>
    </row>
    <row r="2101" spans="1:10" x14ac:dyDescent="0.35">
      <c r="A2101" t="str">
        <f t="shared" si="372"/>
        <v>JAN</v>
      </c>
      <c r="B2101" t="str">
        <f t="shared" si="373"/>
        <v>21</v>
      </c>
      <c r="C2101" t="str">
        <f t="shared" si="361"/>
        <v>2020/21</v>
      </c>
      <c r="D2101" t="str">
        <f t="shared" si="370"/>
        <v>SS SL 114908</v>
      </c>
      <c r="E2101" t="str">
        <f t="shared" si="362"/>
        <v>SS</v>
      </c>
      <c r="F2101" t="s">
        <v>25</v>
      </c>
      <c r="G2101" t="s">
        <v>22</v>
      </c>
      <c r="H2101">
        <v>2565.52</v>
      </c>
      <c r="I2101" t="str">
        <f t="shared" si="366"/>
        <v>Possabilities CIC</v>
      </c>
      <c r="J2101" t="str">
        <f t="shared" si="371"/>
        <v>Oakhill Lodge (Possibilities) Voluntary Associations Agency And Contracted Services Supported Living Adult Health &amp; Social Care</v>
      </c>
    </row>
    <row r="2102" spans="1:10" x14ac:dyDescent="0.35">
      <c r="A2102" t="str">
        <f t="shared" si="372"/>
        <v>JAN</v>
      </c>
      <c r="B2102" t="str">
        <f t="shared" si="373"/>
        <v>21</v>
      </c>
      <c r="C2102" t="str">
        <f t="shared" si="361"/>
        <v>2020/21</v>
      </c>
      <c r="D2102" t="str">
        <f t="shared" si="370"/>
        <v>SS SL 114908</v>
      </c>
      <c r="E2102" t="str">
        <f t="shared" si="362"/>
        <v>SS</v>
      </c>
      <c r="F2102" t="s">
        <v>25</v>
      </c>
      <c r="G2102" t="s">
        <v>22</v>
      </c>
      <c r="H2102">
        <v>4259.3999999999996</v>
      </c>
      <c r="I2102" t="str">
        <f t="shared" si="366"/>
        <v>Possabilities CIC</v>
      </c>
      <c r="J2102" t="str">
        <f t="shared" si="371"/>
        <v>Oakhill Lodge (Possibilities) Voluntary Associations Agency And Contracted Services Supported Living Adult Health &amp; Social Care</v>
      </c>
    </row>
    <row r="2103" spans="1:10" x14ac:dyDescent="0.35">
      <c r="A2103" t="str">
        <f t="shared" si="372"/>
        <v>JAN</v>
      </c>
      <c r="B2103" t="str">
        <f t="shared" si="373"/>
        <v>21</v>
      </c>
      <c r="C2103" t="str">
        <f t="shared" si="361"/>
        <v>2020/21</v>
      </c>
      <c r="D2103" t="str">
        <f t="shared" si="370"/>
        <v>SS SL 114908</v>
      </c>
      <c r="E2103" t="str">
        <f t="shared" si="362"/>
        <v>SS</v>
      </c>
      <c r="F2103" t="s">
        <v>25</v>
      </c>
      <c r="G2103" t="s">
        <v>22</v>
      </c>
      <c r="H2103">
        <v>4259.3999999999996</v>
      </c>
      <c r="I2103" t="str">
        <f t="shared" si="366"/>
        <v>Possabilities CIC</v>
      </c>
      <c r="J2103" t="str">
        <f t="shared" si="371"/>
        <v>Oakhill Lodge (Possibilities) Voluntary Associations Agency And Contracted Services Supported Living Adult Health &amp; Social Care</v>
      </c>
    </row>
    <row r="2104" spans="1:10" x14ac:dyDescent="0.35">
      <c r="A2104" t="str">
        <f t="shared" si="372"/>
        <v>JAN</v>
      </c>
      <c r="B2104" t="str">
        <f t="shared" si="373"/>
        <v>21</v>
      </c>
      <c r="C2104" t="str">
        <f t="shared" si="361"/>
        <v>2020/21</v>
      </c>
      <c r="D2104" t="str">
        <f t="shared" si="370"/>
        <v>SS SL 114908</v>
      </c>
      <c r="E2104" t="str">
        <f t="shared" si="362"/>
        <v>SS</v>
      </c>
      <c r="F2104" t="s">
        <v>25</v>
      </c>
      <c r="G2104" t="s">
        <v>22</v>
      </c>
      <c r="H2104">
        <v>-0.72</v>
      </c>
      <c r="I2104" t="str">
        <f t="shared" si="366"/>
        <v>Possabilities CIC</v>
      </c>
      <c r="J2104" t="str">
        <f t="shared" si="371"/>
        <v>Oakhill Lodge (Possibilities) Voluntary Associations Agency And Contracted Services Supported Living Adult Health &amp; Social Care</v>
      </c>
    </row>
    <row r="2105" spans="1:10" x14ac:dyDescent="0.35">
      <c r="A2105" t="str">
        <f t="shared" si="372"/>
        <v>JAN</v>
      </c>
      <c r="B2105" t="str">
        <f t="shared" si="373"/>
        <v>21</v>
      </c>
      <c r="C2105" t="str">
        <f t="shared" si="361"/>
        <v>2020/21</v>
      </c>
      <c r="D2105" t="str">
        <f t="shared" si="370"/>
        <v>SS SL 114908</v>
      </c>
      <c r="E2105" t="str">
        <f t="shared" si="362"/>
        <v>SS</v>
      </c>
      <c r="F2105" t="s">
        <v>25</v>
      </c>
      <c r="G2105" t="s">
        <v>22</v>
      </c>
      <c r="H2105">
        <v>1533</v>
      </c>
      <c r="I2105" t="str">
        <f t="shared" si="366"/>
        <v>Possabilities CIC</v>
      </c>
      <c r="J2105" t="str">
        <f t="shared" si="371"/>
        <v>Oakhill Lodge (Possibilities) Voluntary Associations Agency And Contracted Services Supported Living Adult Health &amp; Social Care</v>
      </c>
    </row>
    <row r="2106" spans="1:10" x14ac:dyDescent="0.35">
      <c r="A2106" t="str">
        <f t="shared" si="372"/>
        <v>JAN</v>
      </c>
      <c r="B2106" t="str">
        <f t="shared" si="373"/>
        <v>21</v>
      </c>
      <c r="C2106" t="str">
        <f t="shared" si="361"/>
        <v>2020/21</v>
      </c>
      <c r="D2106" t="str">
        <f t="shared" si="370"/>
        <v>SS SL 114908</v>
      </c>
      <c r="E2106" t="str">
        <f t="shared" si="362"/>
        <v>SS</v>
      </c>
      <c r="F2106" t="s">
        <v>25</v>
      </c>
      <c r="G2106" t="s">
        <v>22</v>
      </c>
      <c r="H2106">
        <v>4259.3999999999996</v>
      </c>
      <c r="I2106" t="str">
        <f t="shared" si="366"/>
        <v>Possabilities CIC</v>
      </c>
      <c r="J2106" t="str">
        <f t="shared" si="371"/>
        <v>Oakhill Lodge (Possibilities) Voluntary Associations Agency And Contracted Services Supported Living Adult Health &amp; Social Care</v>
      </c>
    </row>
    <row r="2107" spans="1:10" x14ac:dyDescent="0.35">
      <c r="A2107" t="str">
        <f t="shared" si="372"/>
        <v>JAN</v>
      </c>
      <c r="B2107" t="str">
        <f t="shared" si="373"/>
        <v>21</v>
      </c>
      <c r="C2107" t="str">
        <f t="shared" si="361"/>
        <v>2020/21</v>
      </c>
      <c r="D2107" t="str">
        <f t="shared" si="370"/>
        <v>SS SL 114908</v>
      </c>
      <c r="E2107" t="str">
        <f t="shared" si="362"/>
        <v>SS</v>
      </c>
      <c r="F2107" t="s">
        <v>25</v>
      </c>
      <c r="G2107" t="s">
        <v>22</v>
      </c>
      <c r="H2107">
        <v>4259.3999999999996</v>
      </c>
      <c r="I2107" t="str">
        <f t="shared" si="366"/>
        <v>Possabilities CIC</v>
      </c>
      <c r="J2107" t="str">
        <f t="shared" si="371"/>
        <v>Oakhill Lodge (Possibilities) Voluntary Associations Agency And Contracted Services Supported Living Adult Health &amp; Social Care</v>
      </c>
    </row>
    <row r="2108" spans="1:10" x14ac:dyDescent="0.35">
      <c r="A2108" t="str">
        <f t="shared" si="372"/>
        <v>JAN</v>
      </c>
      <c r="B2108" t="str">
        <f t="shared" si="373"/>
        <v>21</v>
      </c>
      <c r="C2108" t="str">
        <f t="shared" si="361"/>
        <v>2020/21</v>
      </c>
      <c r="D2108" t="str">
        <f t="shared" si="370"/>
        <v>SS SL 114908</v>
      </c>
      <c r="E2108" t="str">
        <f t="shared" si="362"/>
        <v>SS</v>
      </c>
      <c r="F2108" t="s">
        <v>25</v>
      </c>
      <c r="G2108" t="s">
        <v>22</v>
      </c>
      <c r="H2108">
        <v>2564.8000000000002</v>
      </c>
      <c r="I2108" t="str">
        <f t="shared" si="366"/>
        <v>Possabilities CIC</v>
      </c>
      <c r="J2108" t="str">
        <f t="shared" si="371"/>
        <v>Oakhill Lodge (Possibilities) Voluntary Associations Agency And Contracted Services Supported Living Adult Health &amp; Social Care</v>
      </c>
    </row>
    <row r="2109" spans="1:10" x14ac:dyDescent="0.35">
      <c r="A2109" t="str">
        <f t="shared" si="372"/>
        <v>JAN</v>
      </c>
      <c r="B2109" t="str">
        <f t="shared" si="373"/>
        <v>21</v>
      </c>
      <c r="C2109" t="str">
        <f t="shared" si="361"/>
        <v>2020/21</v>
      </c>
      <c r="D2109" t="str">
        <f t="shared" si="370"/>
        <v>SS SL 114908</v>
      </c>
      <c r="E2109" t="str">
        <f t="shared" si="362"/>
        <v>SS</v>
      </c>
      <c r="F2109" t="s">
        <v>25</v>
      </c>
      <c r="G2109" t="s">
        <v>22</v>
      </c>
      <c r="H2109">
        <v>4259.3999999999996</v>
      </c>
      <c r="I2109" t="str">
        <f t="shared" si="366"/>
        <v>Possabilities CIC</v>
      </c>
      <c r="J2109" t="str">
        <f t="shared" si="371"/>
        <v>Oakhill Lodge (Possibilities) Voluntary Associations Agency And Contracted Services Supported Living Adult Health &amp; Social Care</v>
      </c>
    </row>
    <row r="2110" spans="1:10" x14ac:dyDescent="0.35">
      <c r="A2110" t="str">
        <f t="shared" si="372"/>
        <v>JAN</v>
      </c>
      <c r="B2110" t="str">
        <f t="shared" si="373"/>
        <v>21</v>
      </c>
      <c r="C2110" t="str">
        <f t="shared" si="361"/>
        <v>2020/21</v>
      </c>
      <c r="D2110" t="str">
        <f>"SS SL 114110"</f>
        <v>SS SL 114110</v>
      </c>
      <c r="E2110" t="str">
        <f t="shared" si="362"/>
        <v>SS</v>
      </c>
      <c r="F2110" t="s">
        <v>25</v>
      </c>
      <c r="G2110" t="s">
        <v>22</v>
      </c>
      <c r="H2110">
        <v>2213.48</v>
      </c>
      <c r="I2110" t="str">
        <f>"Turning Point Scotland Services"</f>
        <v>Turning Point Scotland Services</v>
      </c>
      <c r="J2110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2111" spans="1:10" x14ac:dyDescent="0.35">
      <c r="A2111" t="str">
        <f t="shared" si="372"/>
        <v>JAN</v>
      </c>
      <c r="B2111" t="str">
        <f t="shared" si="373"/>
        <v>21</v>
      </c>
      <c r="C2111" t="str">
        <f t="shared" si="361"/>
        <v>2020/21</v>
      </c>
      <c r="D2111" t="str">
        <f>"SS SL 114110"</f>
        <v>SS SL 114110</v>
      </c>
      <c r="E2111" t="str">
        <f t="shared" si="362"/>
        <v>SS</v>
      </c>
      <c r="F2111" t="s">
        <v>25</v>
      </c>
      <c r="G2111" t="s">
        <v>22</v>
      </c>
      <c r="H2111">
        <v>2213.48</v>
      </c>
      <c r="I2111" t="str">
        <f>"Turning Point Scotland Services"</f>
        <v>Turning Point Scotland Services</v>
      </c>
      <c r="J2111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2112" spans="1:10" x14ac:dyDescent="0.35">
      <c r="A2112" t="str">
        <f t="shared" si="372"/>
        <v>JAN</v>
      </c>
      <c r="B2112" t="str">
        <f t="shared" si="373"/>
        <v>21</v>
      </c>
      <c r="C2112" t="str">
        <f t="shared" si="361"/>
        <v>2020/21</v>
      </c>
      <c r="D2112" t="str">
        <f>"SS SL 114110"</f>
        <v>SS SL 114110</v>
      </c>
      <c r="E2112" t="str">
        <f t="shared" si="362"/>
        <v>SS</v>
      </c>
      <c r="F2112" t="s">
        <v>25</v>
      </c>
      <c r="G2112" t="s">
        <v>22</v>
      </c>
      <c r="H2112">
        <v>2213.48</v>
      </c>
      <c r="I2112" t="str">
        <f>"Turning Point Scotland Services"</f>
        <v>Turning Point Scotland Services</v>
      </c>
      <c r="J2112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2113" spans="1:10" x14ac:dyDescent="0.35">
      <c r="A2113" t="str">
        <f t="shared" si="372"/>
        <v>JAN</v>
      </c>
      <c r="B2113" t="str">
        <f t="shared" si="373"/>
        <v>21</v>
      </c>
      <c r="C2113" t="str">
        <f t="shared" si="361"/>
        <v>2020/21</v>
      </c>
      <c r="D2113" t="str">
        <f>"SS SL 114846"</f>
        <v>SS SL 114846</v>
      </c>
      <c r="E2113" t="str">
        <f t="shared" si="362"/>
        <v>SS</v>
      </c>
      <c r="F2113" t="s">
        <v>25</v>
      </c>
      <c r="G2113" t="s">
        <v>22</v>
      </c>
      <c r="H2113">
        <v>1228.4000000000001</v>
      </c>
      <c r="I2113" t="str">
        <f>"The Mayfield Trust"</f>
        <v>The Mayfield Trust</v>
      </c>
      <c r="J2113" t="str">
        <f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2114" spans="1:10" x14ac:dyDescent="0.35">
      <c r="A2114" t="str">
        <f t="shared" si="372"/>
        <v>JAN</v>
      </c>
      <c r="B2114" t="str">
        <f t="shared" si="373"/>
        <v>21</v>
      </c>
      <c r="C2114" t="str">
        <f t="shared" ref="C2114:C2177" si="374">"2020/21"</f>
        <v>2020/21</v>
      </c>
      <c r="D2114" t="str">
        <f>"SS SL 114846"</f>
        <v>SS SL 114846</v>
      </c>
      <c r="E2114" t="str">
        <f t="shared" ref="E2114:E2177" si="375">LEFT(D2114,2)</f>
        <v>SS</v>
      </c>
      <c r="F2114" t="s">
        <v>25</v>
      </c>
      <c r="G2114" t="s">
        <v>22</v>
      </c>
      <c r="H2114">
        <v>832.24</v>
      </c>
      <c r="I2114" t="str">
        <f>"The Mayfield Trust"</f>
        <v>The Mayfield Trust</v>
      </c>
      <c r="J2114" t="str">
        <f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2115" spans="1:10" x14ac:dyDescent="0.35">
      <c r="A2115" t="str">
        <f t="shared" si="372"/>
        <v>JAN</v>
      </c>
      <c r="B2115" t="str">
        <f t="shared" si="373"/>
        <v>21</v>
      </c>
      <c r="C2115" t="str">
        <f t="shared" si="374"/>
        <v>2020/21</v>
      </c>
      <c r="D2115" t="str">
        <f>"SS SL 114846"</f>
        <v>SS SL 114846</v>
      </c>
      <c r="E2115" t="str">
        <f t="shared" si="375"/>
        <v>SS</v>
      </c>
      <c r="F2115" t="s">
        <v>25</v>
      </c>
      <c r="G2115" t="s">
        <v>22</v>
      </c>
      <c r="H2115">
        <v>1228.4000000000001</v>
      </c>
      <c r="I2115" t="str">
        <f>"The Mayfield Trust"</f>
        <v>The Mayfield Trust</v>
      </c>
      <c r="J2115" t="str">
        <f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2116" spans="1:10" x14ac:dyDescent="0.35">
      <c r="A2116" t="str">
        <f t="shared" si="372"/>
        <v>JAN</v>
      </c>
      <c r="B2116" t="str">
        <f t="shared" si="373"/>
        <v>21</v>
      </c>
      <c r="C2116" t="str">
        <f t="shared" si="374"/>
        <v>2020/21</v>
      </c>
      <c r="D2116" t="str">
        <f>"SS SL 114846"</f>
        <v>SS SL 114846</v>
      </c>
      <c r="E2116" t="str">
        <f t="shared" si="375"/>
        <v>SS</v>
      </c>
      <c r="F2116" t="s">
        <v>25</v>
      </c>
      <c r="G2116" t="s">
        <v>22</v>
      </c>
      <c r="H2116">
        <v>1228.4000000000001</v>
      </c>
      <c r="I2116" t="str">
        <f>"The Mayfield Trust"</f>
        <v>The Mayfield Trust</v>
      </c>
      <c r="J2116" t="str">
        <f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2117" spans="1:10" x14ac:dyDescent="0.35">
      <c r="A2117" t="str">
        <f t="shared" si="372"/>
        <v>JAN</v>
      </c>
      <c r="B2117" t="str">
        <f t="shared" si="373"/>
        <v>21</v>
      </c>
      <c r="C2117" t="str">
        <f t="shared" si="374"/>
        <v>2020/21</v>
      </c>
      <c r="D2117" t="str">
        <f t="shared" ref="D2117:D2122" si="376">"SS SL 114881"</f>
        <v>SS SL 114881</v>
      </c>
      <c r="E2117" t="str">
        <f t="shared" si="375"/>
        <v>SS</v>
      </c>
      <c r="F2117" t="s">
        <v>25</v>
      </c>
      <c r="G2117" t="s">
        <v>22</v>
      </c>
      <c r="H2117">
        <v>4946.8</v>
      </c>
      <c r="I2117" t="str">
        <f t="shared" ref="I2117:I2132" si="377">"Creative Support Ltd"</f>
        <v>Creative Support Ltd</v>
      </c>
      <c r="J2117" t="str">
        <f t="shared" ref="J2117:J2122" si="378"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2118" spans="1:10" x14ac:dyDescent="0.35">
      <c r="A2118" t="str">
        <f t="shared" si="372"/>
        <v>JAN</v>
      </c>
      <c r="B2118" t="str">
        <f t="shared" si="373"/>
        <v>21</v>
      </c>
      <c r="C2118" t="str">
        <f t="shared" si="374"/>
        <v>2020/21</v>
      </c>
      <c r="D2118" t="str">
        <f t="shared" si="376"/>
        <v>SS SL 114881</v>
      </c>
      <c r="E2118" t="str">
        <f t="shared" si="375"/>
        <v>SS</v>
      </c>
      <c r="F2118" t="s">
        <v>25</v>
      </c>
      <c r="G2118" t="s">
        <v>22</v>
      </c>
      <c r="H2118">
        <v>6208.4</v>
      </c>
      <c r="I2118" t="str">
        <f t="shared" si="377"/>
        <v>Creative Support Ltd</v>
      </c>
      <c r="J2118" t="str">
        <f t="shared" si="378"/>
        <v>92 Highfield Road (Creative Support) Private Contractors Agency And Contracted Services Supported Living Adult Health &amp; Social Care</v>
      </c>
    </row>
    <row r="2119" spans="1:10" x14ac:dyDescent="0.35">
      <c r="A2119" t="str">
        <f t="shared" si="372"/>
        <v>JAN</v>
      </c>
      <c r="B2119" t="str">
        <f t="shared" si="373"/>
        <v>21</v>
      </c>
      <c r="C2119" t="str">
        <f t="shared" si="374"/>
        <v>2020/21</v>
      </c>
      <c r="D2119" t="str">
        <f t="shared" si="376"/>
        <v>SS SL 114881</v>
      </c>
      <c r="E2119" t="str">
        <f t="shared" si="375"/>
        <v>SS</v>
      </c>
      <c r="F2119" t="s">
        <v>25</v>
      </c>
      <c r="G2119" t="s">
        <v>22</v>
      </c>
      <c r="H2119">
        <v>6772.8</v>
      </c>
      <c r="I2119" t="str">
        <f t="shared" si="377"/>
        <v>Creative Support Ltd</v>
      </c>
      <c r="J2119" t="str">
        <f t="shared" si="378"/>
        <v>92 Highfield Road (Creative Support) Private Contractors Agency And Contracted Services Supported Living Adult Health &amp; Social Care</v>
      </c>
    </row>
    <row r="2120" spans="1:10" x14ac:dyDescent="0.35">
      <c r="A2120" t="str">
        <f t="shared" si="372"/>
        <v>JAN</v>
      </c>
      <c r="B2120" t="str">
        <f t="shared" si="373"/>
        <v>21</v>
      </c>
      <c r="C2120" t="str">
        <f t="shared" si="374"/>
        <v>2020/21</v>
      </c>
      <c r="D2120" t="str">
        <f t="shared" si="376"/>
        <v>SS SL 114881</v>
      </c>
      <c r="E2120" t="str">
        <f t="shared" si="375"/>
        <v>SS</v>
      </c>
      <c r="F2120" t="s">
        <v>25</v>
      </c>
      <c r="G2120" t="s">
        <v>22</v>
      </c>
      <c r="H2120">
        <v>3718.4</v>
      </c>
      <c r="I2120" t="str">
        <f t="shared" si="377"/>
        <v>Creative Support Ltd</v>
      </c>
      <c r="J2120" t="str">
        <f t="shared" si="378"/>
        <v>92 Highfield Road (Creative Support) Private Contractors Agency And Contracted Services Supported Living Adult Health &amp; Social Care</v>
      </c>
    </row>
    <row r="2121" spans="1:10" x14ac:dyDescent="0.35">
      <c r="A2121" t="str">
        <f t="shared" si="372"/>
        <v>JAN</v>
      </c>
      <c r="B2121" t="str">
        <f t="shared" si="373"/>
        <v>21</v>
      </c>
      <c r="C2121" t="str">
        <f t="shared" si="374"/>
        <v>2020/21</v>
      </c>
      <c r="D2121" t="str">
        <f t="shared" si="376"/>
        <v>SS SL 114881</v>
      </c>
      <c r="E2121" t="str">
        <f t="shared" si="375"/>
        <v>SS</v>
      </c>
      <c r="F2121" t="s">
        <v>25</v>
      </c>
      <c r="G2121" t="s">
        <v>22</v>
      </c>
      <c r="H2121">
        <v>3452.8</v>
      </c>
      <c r="I2121" t="str">
        <f t="shared" si="377"/>
        <v>Creative Support Ltd</v>
      </c>
      <c r="J2121" t="str">
        <f t="shared" si="378"/>
        <v>92 Highfield Road (Creative Support) Private Contractors Agency And Contracted Services Supported Living Adult Health &amp; Social Care</v>
      </c>
    </row>
    <row r="2122" spans="1:10" x14ac:dyDescent="0.35">
      <c r="A2122" t="str">
        <f t="shared" si="372"/>
        <v>JAN</v>
      </c>
      <c r="B2122" t="str">
        <f t="shared" si="373"/>
        <v>21</v>
      </c>
      <c r="C2122" t="str">
        <f t="shared" si="374"/>
        <v>2020/21</v>
      </c>
      <c r="D2122" t="str">
        <f t="shared" si="376"/>
        <v>SS SL 114881</v>
      </c>
      <c r="E2122" t="str">
        <f t="shared" si="375"/>
        <v>SS</v>
      </c>
      <c r="F2122" t="s">
        <v>25</v>
      </c>
      <c r="G2122" t="s">
        <v>22</v>
      </c>
      <c r="H2122">
        <v>3021.2</v>
      </c>
      <c r="I2122" t="str">
        <f t="shared" si="377"/>
        <v>Creative Support Ltd</v>
      </c>
      <c r="J2122" t="str">
        <f t="shared" si="378"/>
        <v>92 Highfield Road (Creative Support) Private Contractors Agency And Contracted Services Supported Living Adult Health &amp; Social Care</v>
      </c>
    </row>
    <row r="2123" spans="1:10" x14ac:dyDescent="0.35">
      <c r="A2123" t="str">
        <f t="shared" si="372"/>
        <v>JAN</v>
      </c>
      <c r="B2123" t="str">
        <f t="shared" si="373"/>
        <v>21</v>
      </c>
      <c r="C2123" t="str">
        <f t="shared" si="374"/>
        <v>2020/21</v>
      </c>
      <c r="D2123" t="str">
        <f t="shared" ref="D2123:D2132" si="379">"SS SL 114893"</f>
        <v>SS SL 114893</v>
      </c>
      <c r="E2123" t="str">
        <f t="shared" si="375"/>
        <v>SS</v>
      </c>
      <c r="F2123" t="s">
        <v>25</v>
      </c>
      <c r="G2123" t="s">
        <v>22</v>
      </c>
      <c r="H2123">
        <v>2191.1999999999998</v>
      </c>
      <c r="I2123" t="str">
        <f t="shared" si="377"/>
        <v>Creative Support Ltd</v>
      </c>
      <c r="J2123" t="str">
        <f t="shared" ref="J2123:J2132" si="380"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2124" spans="1:10" x14ac:dyDescent="0.35">
      <c r="A2124" t="str">
        <f t="shared" si="372"/>
        <v>JAN</v>
      </c>
      <c r="B2124" t="str">
        <f t="shared" si="373"/>
        <v>21</v>
      </c>
      <c r="C2124" t="str">
        <f t="shared" si="374"/>
        <v>2020/21</v>
      </c>
      <c r="D2124" t="str">
        <f t="shared" si="379"/>
        <v>SS SL 114893</v>
      </c>
      <c r="E2124" t="str">
        <f t="shared" si="375"/>
        <v>SS</v>
      </c>
      <c r="F2124" t="s">
        <v>25</v>
      </c>
      <c r="G2124" t="s">
        <v>22</v>
      </c>
      <c r="H2124">
        <v>2284.8000000000002</v>
      </c>
      <c r="I2124" t="str">
        <f t="shared" si="377"/>
        <v>Creative Support Ltd</v>
      </c>
      <c r="J2124" t="str">
        <f t="shared" si="380"/>
        <v>92a Highfield Road (Creative Support) Private Contractors Agency And Contracted Services Supported Living Adult Health &amp; Social Care</v>
      </c>
    </row>
    <row r="2125" spans="1:10" x14ac:dyDescent="0.35">
      <c r="A2125" t="str">
        <f t="shared" si="372"/>
        <v>JAN</v>
      </c>
      <c r="B2125" t="str">
        <f t="shared" si="373"/>
        <v>21</v>
      </c>
      <c r="C2125" t="str">
        <f t="shared" si="374"/>
        <v>2020/21</v>
      </c>
      <c r="D2125" t="str">
        <f t="shared" si="379"/>
        <v>SS SL 114893</v>
      </c>
      <c r="E2125" t="str">
        <f t="shared" si="375"/>
        <v>SS</v>
      </c>
      <c r="F2125" t="s">
        <v>25</v>
      </c>
      <c r="G2125" t="s">
        <v>22</v>
      </c>
      <c r="H2125">
        <v>3984</v>
      </c>
      <c r="I2125" t="str">
        <f t="shared" si="377"/>
        <v>Creative Support Ltd</v>
      </c>
      <c r="J2125" t="str">
        <f t="shared" si="380"/>
        <v>92a Highfield Road (Creative Support) Private Contractors Agency And Contracted Services Supported Living Adult Health &amp; Social Care</v>
      </c>
    </row>
    <row r="2126" spans="1:10" x14ac:dyDescent="0.35">
      <c r="A2126" t="str">
        <f t="shared" si="372"/>
        <v>JAN</v>
      </c>
      <c r="B2126" t="str">
        <f t="shared" si="373"/>
        <v>21</v>
      </c>
      <c r="C2126" t="str">
        <f t="shared" si="374"/>
        <v>2020/21</v>
      </c>
      <c r="D2126" t="str">
        <f t="shared" si="379"/>
        <v>SS SL 114893</v>
      </c>
      <c r="E2126" t="str">
        <f t="shared" si="375"/>
        <v>SS</v>
      </c>
      <c r="F2126" t="s">
        <v>25</v>
      </c>
      <c r="G2126" t="s">
        <v>22</v>
      </c>
      <c r="H2126">
        <v>3452.8</v>
      </c>
      <c r="I2126" t="str">
        <f t="shared" si="377"/>
        <v>Creative Support Ltd</v>
      </c>
      <c r="J2126" t="str">
        <f t="shared" si="380"/>
        <v>92a Highfield Road (Creative Support) Private Contractors Agency And Contracted Services Supported Living Adult Health &amp; Social Care</v>
      </c>
    </row>
    <row r="2127" spans="1:10" x14ac:dyDescent="0.35">
      <c r="A2127" t="str">
        <f t="shared" si="372"/>
        <v>JAN</v>
      </c>
      <c r="B2127" t="str">
        <f t="shared" si="373"/>
        <v>21</v>
      </c>
      <c r="C2127" t="str">
        <f t="shared" si="374"/>
        <v>2020/21</v>
      </c>
      <c r="D2127" t="str">
        <f t="shared" si="379"/>
        <v>SS SL 114893</v>
      </c>
      <c r="E2127" t="str">
        <f t="shared" si="375"/>
        <v>SS</v>
      </c>
      <c r="F2127" t="s">
        <v>25</v>
      </c>
      <c r="G2127" t="s">
        <v>22</v>
      </c>
      <c r="H2127">
        <v>2921.6</v>
      </c>
      <c r="I2127" t="str">
        <f t="shared" si="377"/>
        <v>Creative Support Ltd</v>
      </c>
      <c r="J2127" t="str">
        <f t="shared" si="380"/>
        <v>92a Highfield Road (Creative Support) Private Contractors Agency And Contracted Services Supported Living Adult Health &amp; Social Care</v>
      </c>
    </row>
    <row r="2128" spans="1:10" x14ac:dyDescent="0.35">
      <c r="A2128" t="str">
        <f t="shared" si="372"/>
        <v>JAN</v>
      </c>
      <c r="B2128" t="str">
        <f t="shared" si="373"/>
        <v>21</v>
      </c>
      <c r="C2128" t="str">
        <f t="shared" si="374"/>
        <v>2020/21</v>
      </c>
      <c r="D2128" t="str">
        <f t="shared" si="379"/>
        <v>SS SL 114893</v>
      </c>
      <c r="E2128" t="str">
        <f t="shared" si="375"/>
        <v>SS</v>
      </c>
      <c r="F2128" t="s">
        <v>25</v>
      </c>
      <c r="G2128" t="s">
        <v>22</v>
      </c>
      <c r="H2128">
        <v>2191.1999999999998</v>
      </c>
      <c r="I2128" t="str">
        <f t="shared" si="377"/>
        <v>Creative Support Ltd</v>
      </c>
      <c r="J2128" t="str">
        <f t="shared" si="380"/>
        <v>92a Highfield Road (Creative Support) Private Contractors Agency And Contracted Services Supported Living Adult Health &amp; Social Care</v>
      </c>
    </row>
    <row r="2129" spans="1:10" x14ac:dyDescent="0.35">
      <c r="A2129" t="str">
        <f t="shared" si="372"/>
        <v>JAN</v>
      </c>
      <c r="B2129" t="str">
        <f t="shared" si="373"/>
        <v>21</v>
      </c>
      <c r="C2129" t="str">
        <f t="shared" si="374"/>
        <v>2020/21</v>
      </c>
      <c r="D2129" t="str">
        <f t="shared" si="379"/>
        <v>SS SL 114893</v>
      </c>
      <c r="E2129" t="str">
        <f t="shared" si="375"/>
        <v>SS</v>
      </c>
      <c r="F2129" t="s">
        <v>25</v>
      </c>
      <c r="G2129" t="s">
        <v>22</v>
      </c>
      <c r="H2129">
        <v>2921.6</v>
      </c>
      <c r="I2129" t="str">
        <f t="shared" si="377"/>
        <v>Creative Support Ltd</v>
      </c>
      <c r="J2129" t="str">
        <f t="shared" si="380"/>
        <v>92a Highfield Road (Creative Support) Private Contractors Agency And Contracted Services Supported Living Adult Health &amp; Social Care</v>
      </c>
    </row>
    <row r="2130" spans="1:10" x14ac:dyDescent="0.35">
      <c r="A2130" t="str">
        <f t="shared" si="372"/>
        <v>JAN</v>
      </c>
      <c r="B2130" t="str">
        <f t="shared" si="373"/>
        <v>21</v>
      </c>
      <c r="C2130" t="str">
        <f t="shared" si="374"/>
        <v>2020/21</v>
      </c>
      <c r="D2130" t="str">
        <f t="shared" si="379"/>
        <v>SS SL 114893</v>
      </c>
      <c r="E2130" t="str">
        <f t="shared" si="375"/>
        <v>SS</v>
      </c>
      <c r="F2130" t="s">
        <v>25</v>
      </c>
      <c r="G2130" t="s">
        <v>22</v>
      </c>
      <c r="H2130">
        <v>3984</v>
      </c>
      <c r="I2130" t="str">
        <f t="shared" si="377"/>
        <v>Creative Support Ltd</v>
      </c>
      <c r="J2130" t="str">
        <f t="shared" si="380"/>
        <v>92a Highfield Road (Creative Support) Private Contractors Agency And Contracted Services Supported Living Adult Health &amp; Social Care</v>
      </c>
    </row>
    <row r="2131" spans="1:10" x14ac:dyDescent="0.35">
      <c r="A2131" t="str">
        <f t="shared" si="372"/>
        <v>JAN</v>
      </c>
      <c r="B2131" t="str">
        <f t="shared" si="373"/>
        <v>21</v>
      </c>
      <c r="C2131" t="str">
        <f t="shared" si="374"/>
        <v>2020/21</v>
      </c>
      <c r="D2131" t="str">
        <f t="shared" si="379"/>
        <v>SS SL 114893</v>
      </c>
      <c r="E2131" t="str">
        <f t="shared" si="375"/>
        <v>SS</v>
      </c>
      <c r="F2131" t="s">
        <v>25</v>
      </c>
      <c r="G2131" t="s">
        <v>22</v>
      </c>
      <c r="H2131">
        <v>2284.8000000000002</v>
      </c>
      <c r="I2131" t="str">
        <f t="shared" si="377"/>
        <v>Creative Support Ltd</v>
      </c>
      <c r="J2131" t="str">
        <f t="shared" si="380"/>
        <v>92a Highfield Road (Creative Support) Private Contractors Agency And Contracted Services Supported Living Adult Health &amp; Social Care</v>
      </c>
    </row>
    <row r="2132" spans="1:10" x14ac:dyDescent="0.35">
      <c r="A2132" t="str">
        <f t="shared" si="372"/>
        <v>JAN</v>
      </c>
      <c r="B2132" t="str">
        <f t="shared" si="373"/>
        <v>21</v>
      </c>
      <c r="C2132" t="str">
        <f t="shared" si="374"/>
        <v>2020/21</v>
      </c>
      <c r="D2132" t="str">
        <f t="shared" si="379"/>
        <v>SS SL 114893</v>
      </c>
      <c r="E2132" t="str">
        <f t="shared" si="375"/>
        <v>SS</v>
      </c>
      <c r="F2132" t="s">
        <v>25</v>
      </c>
      <c r="G2132" t="s">
        <v>22</v>
      </c>
      <c r="H2132">
        <v>3452.8</v>
      </c>
      <c r="I2132" t="str">
        <f t="shared" si="377"/>
        <v>Creative Support Ltd</v>
      </c>
      <c r="J2132" t="str">
        <f t="shared" si="380"/>
        <v>92a Highfield Road (Creative Support) Private Contractors Agency And Contracted Services Supported Living Adult Health &amp; Social Care</v>
      </c>
    </row>
    <row r="2133" spans="1:10" x14ac:dyDescent="0.35">
      <c r="A2133" t="str">
        <f t="shared" si="372"/>
        <v>JAN</v>
      </c>
      <c r="B2133" t="str">
        <f t="shared" si="373"/>
        <v>21</v>
      </c>
      <c r="C2133" t="str">
        <f t="shared" si="374"/>
        <v>2020/21</v>
      </c>
      <c r="D2133" t="str">
        <f>"SS SL 114906"</f>
        <v>SS SL 114906</v>
      </c>
      <c r="E2133" t="str">
        <f t="shared" si="375"/>
        <v>SS</v>
      </c>
      <c r="F2133" t="s">
        <v>25</v>
      </c>
      <c r="G2133" t="s">
        <v>22</v>
      </c>
      <c r="H2133">
        <v>124.5</v>
      </c>
      <c r="I2133" t="str">
        <f t="shared" ref="I2133:I2152" si="381">"Future Directions CIC"</f>
        <v>Future Directions CIC</v>
      </c>
      <c r="J2133" t="str">
        <f t="shared" ref="J2133:J2152" si="382"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2134" spans="1:10" x14ac:dyDescent="0.35">
      <c r="A2134" t="str">
        <f t="shared" si="372"/>
        <v>JAN</v>
      </c>
      <c r="B2134" t="str">
        <f t="shared" si="373"/>
        <v>21</v>
      </c>
      <c r="C2134" t="str">
        <f t="shared" si="374"/>
        <v>2020/21</v>
      </c>
      <c r="D2134" t="str">
        <f>"SS SL 114904"</f>
        <v>SS SL 114904</v>
      </c>
      <c r="E2134" t="str">
        <f t="shared" si="375"/>
        <v>SS</v>
      </c>
      <c r="F2134" t="s">
        <v>25</v>
      </c>
      <c r="G2134" t="s">
        <v>22</v>
      </c>
      <c r="H2134">
        <v>927.15</v>
      </c>
      <c r="I2134" t="str">
        <f t="shared" si="381"/>
        <v>Future Directions CIC</v>
      </c>
      <c r="J2134" t="str">
        <f t="shared" si="382"/>
        <v>Endeavour House (Future Directions) Private Contractors Agency And Contracted Services Supported Living Adult Health &amp; Social Care</v>
      </c>
    </row>
    <row r="2135" spans="1:10" x14ac:dyDescent="0.35">
      <c r="A2135" t="str">
        <f t="shared" si="372"/>
        <v>JAN</v>
      </c>
      <c r="B2135" t="str">
        <f t="shared" si="373"/>
        <v>21</v>
      </c>
      <c r="C2135" t="str">
        <f t="shared" si="374"/>
        <v>2020/21</v>
      </c>
      <c r="D2135" t="str">
        <f>"SS SL 114906"</f>
        <v>SS SL 114906</v>
      </c>
      <c r="E2135" t="str">
        <f t="shared" si="375"/>
        <v>SS</v>
      </c>
      <c r="F2135" t="s">
        <v>25</v>
      </c>
      <c r="G2135" t="s">
        <v>22</v>
      </c>
      <c r="H2135">
        <v>66.400000000000006</v>
      </c>
      <c r="I2135" t="str">
        <f t="shared" si="381"/>
        <v>Future Directions CIC</v>
      </c>
      <c r="J2135" t="str">
        <f t="shared" si="382"/>
        <v>Endeavour House (Future Directions) Private Contractors Agency And Contracted Services Supported Living Adult Health &amp; Social Care</v>
      </c>
    </row>
    <row r="2136" spans="1:10" x14ac:dyDescent="0.35">
      <c r="A2136" t="str">
        <f t="shared" si="372"/>
        <v>JAN</v>
      </c>
      <c r="B2136" t="str">
        <f t="shared" si="373"/>
        <v>21</v>
      </c>
      <c r="C2136" t="str">
        <f t="shared" si="374"/>
        <v>2020/21</v>
      </c>
      <c r="D2136" t="str">
        <f>"SS SL 114906"</f>
        <v>SS SL 114906</v>
      </c>
      <c r="E2136" t="str">
        <f t="shared" si="375"/>
        <v>SS</v>
      </c>
      <c r="F2136" t="s">
        <v>25</v>
      </c>
      <c r="G2136" t="s">
        <v>22</v>
      </c>
      <c r="H2136">
        <v>249</v>
      </c>
      <c r="I2136" t="str">
        <f t="shared" si="381"/>
        <v>Future Directions CIC</v>
      </c>
      <c r="J2136" t="str">
        <f t="shared" si="382"/>
        <v>Endeavour House (Future Directions) Private Contractors Agency And Contracted Services Supported Living Adult Health &amp; Social Care</v>
      </c>
    </row>
    <row r="2137" spans="1:10" x14ac:dyDescent="0.35">
      <c r="A2137" t="str">
        <f t="shared" si="372"/>
        <v>JAN</v>
      </c>
      <c r="B2137" t="str">
        <f t="shared" si="373"/>
        <v>21</v>
      </c>
      <c r="C2137" t="str">
        <f t="shared" si="374"/>
        <v>2020/21</v>
      </c>
      <c r="D2137" t="str">
        <f>"SS SL 114903"</f>
        <v>SS SL 114903</v>
      </c>
      <c r="E2137" t="str">
        <f t="shared" si="375"/>
        <v>SS</v>
      </c>
      <c r="F2137" t="s">
        <v>25</v>
      </c>
      <c r="G2137" t="s">
        <v>22</v>
      </c>
      <c r="H2137">
        <v>906.4</v>
      </c>
      <c r="I2137" t="str">
        <f t="shared" si="381"/>
        <v>Future Directions CIC</v>
      </c>
      <c r="J2137" t="str">
        <f t="shared" si="382"/>
        <v>Endeavour House (Future Directions) Private Contractors Agency And Contracted Services Supported Living Adult Health &amp; Social Care</v>
      </c>
    </row>
    <row r="2138" spans="1:10" x14ac:dyDescent="0.35">
      <c r="A2138" t="str">
        <f t="shared" si="372"/>
        <v>JAN</v>
      </c>
      <c r="B2138" t="str">
        <f t="shared" si="373"/>
        <v>21</v>
      </c>
      <c r="C2138" t="str">
        <f t="shared" si="374"/>
        <v>2020/21</v>
      </c>
      <c r="D2138" t="str">
        <f>"SS SL 114906"</f>
        <v>SS SL 114906</v>
      </c>
      <c r="E2138" t="str">
        <f t="shared" si="375"/>
        <v>SS</v>
      </c>
      <c r="F2138" t="s">
        <v>25</v>
      </c>
      <c r="G2138" t="s">
        <v>22</v>
      </c>
      <c r="H2138">
        <v>166</v>
      </c>
      <c r="I2138" t="str">
        <f t="shared" si="381"/>
        <v>Future Directions CIC</v>
      </c>
      <c r="J2138" t="str">
        <f t="shared" si="382"/>
        <v>Endeavour House (Future Directions) Private Contractors Agency And Contracted Services Supported Living Adult Health &amp; Social Care</v>
      </c>
    </row>
    <row r="2139" spans="1:10" x14ac:dyDescent="0.35">
      <c r="A2139" t="str">
        <f t="shared" si="372"/>
        <v>JAN</v>
      </c>
      <c r="B2139" t="str">
        <f t="shared" si="373"/>
        <v>21</v>
      </c>
      <c r="C2139" t="str">
        <f t="shared" si="374"/>
        <v>2020/21</v>
      </c>
      <c r="D2139" t="str">
        <f>"SS SL 114904"</f>
        <v>SS SL 114904</v>
      </c>
      <c r="E2139" t="str">
        <f t="shared" si="375"/>
        <v>SS</v>
      </c>
      <c r="F2139" t="s">
        <v>25</v>
      </c>
      <c r="G2139" t="s">
        <v>22</v>
      </c>
      <c r="H2139">
        <v>3708.6</v>
      </c>
      <c r="I2139" t="str">
        <f t="shared" si="381"/>
        <v>Future Directions CIC</v>
      </c>
      <c r="J2139" t="str">
        <f t="shared" si="382"/>
        <v>Endeavour House (Future Directions) Private Contractors Agency And Contracted Services Supported Living Adult Health &amp; Social Care</v>
      </c>
    </row>
    <row r="2140" spans="1:10" x14ac:dyDescent="0.35">
      <c r="A2140" t="str">
        <f t="shared" si="372"/>
        <v>JAN</v>
      </c>
      <c r="B2140" t="str">
        <f t="shared" si="373"/>
        <v>21</v>
      </c>
      <c r="C2140" t="str">
        <f t="shared" si="374"/>
        <v>2020/21</v>
      </c>
      <c r="D2140" t="str">
        <f>"SS SL 114903"</f>
        <v>SS SL 114903</v>
      </c>
      <c r="E2140" t="str">
        <f t="shared" si="375"/>
        <v>SS</v>
      </c>
      <c r="F2140" t="s">
        <v>25</v>
      </c>
      <c r="G2140" t="s">
        <v>22</v>
      </c>
      <c r="H2140">
        <v>3625.6</v>
      </c>
      <c r="I2140" t="str">
        <f t="shared" si="381"/>
        <v>Future Directions CIC</v>
      </c>
      <c r="J2140" t="str">
        <f t="shared" si="382"/>
        <v>Endeavour House (Future Directions) Private Contractors Agency And Contracted Services Supported Living Adult Health &amp; Social Care</v>
      </c>
    </row>
    <row r="2141" spans="1:10" x14ac:dyDescent="0.35">
      <c r="A2141" t="str">
        <f t="shared" si="372"/>
        <v>JAN</v>
      </c>
      <c r="B2141" t="str">
        <f t="shared" si="373"/>
        <v>21</v>
      </c>
      <c r="C2141" t="str">
        <f t="shared" si="374"/>
        <v>2020/21</v>
      </c>
      <c r="D2141" t="str">
        <f t="shared" ref="D2141:D2146" si="383">"SS SL 114906"</f>
        <v>SS SL 114906</v>
      </c>
      <c r="E2141" t="str">
        <f t="shared" si="375"/>
        <v>SS</v>
      </c>
      <c r="F2141" t="s">
        <v>25</v>
      </c>
      <c r="G2141" t="s">
        <v>22</v>
      </c>
      <c r="H2141">
        <v>996</v>
      </c>
      <c r="I2141" t="str">
        <f t="shared" si="381"/>
        <v>Future Directions CIC</v>
      </c>
      <c r="J2141" t="str">
        <f t="shared" si="382"/>
        <v>Endeavour House (Future Directions) Private Contractors Agency And Contracted Services Supported Living Adult Health &amp; Social Care</v>
      </c>
    </row>
    <row r="2142" spans="1:10" x14ac:dyDescent="0.35">
      <c r="A2142" t="str">
        <f t="shared" si="372"/>
        <v>JAN</v>
      </c>
      <c r="B2142" t="str">
        <f t="shared" si="373"/>
        <v>21</v>
      </c>
      <c r="C2142" t="str">
        <f t="shared" si="374"/>
        <v>2020/21</v>
      </c>
      <c r="D2142" t="str">
        <f t="shared" si="383"/>
        <v>SS SL 114906</v>
      </c>
      <c r="E2142" t="str">
        <f t="shared" si="375"/>
        <v>SS</v>
      </c>
      <c r="F2142" t="s">
        <v>25</v>
      </c>
      <c r="G2142" t="s">
        <v>22</v>
      </c>
      <c r="H2142">
        <v>265.60000000000002</v>
      </c>
      <c r="I2142" t="str">
        <f t="shared" si="381"/>
        <v>Future Directions CIC</v>
      </c>
      <c r="J2142" t="str">
        <f t="shared" si="382"/>
        <v>Endeavour House (Future Directions) Private Contractors Agency And Contracted Services Supported Living Adult Health &amp; Social Care</v>
      </c>
    </row>
    <row r="2143" spans="1:10" x14ac:dyDescent="0.35">
      <c r="A2143" t="str">
        <f t="shared" si="372"/>
        <v>JAN</v>
      </c>
      <c r="B2143" t="str">
        <f t="shared" si="373"/>
        <v>21</v>
      </c>
      <c r="C2143" t="str">
        <f t="shared" si="374"/>
        <v>2020/21</v>
      </c>
      <c r="D2143" t="str">
        <f t="shared" si="383"/>
        <v>SS SL 114906</v>
      </c>
      <c r="E2143" t="str">
        <f t="shared" si="375"/>
        <v>SS</v>
      </c>
      <c r="F2143" t="s">
        <v>25</v>
      </c>
      <c r="G2143" t="s">
        <v>22</v>
      </c>
      <c r="H2143">
        <v>619.52</v>
      </c>
      <c r="I2143" t="str">
        <f t="shared" si="381"/>
        <v>Future Directions CIC</v>
      </c>
      <c r="J2143" t="str">
        <f t="shared" si="382"/>
        <v>Endeavour House (Future Directions) Private Contractors Agency And Contracted Services Supported Living Adult Health &amp; Social Care</v>
      </c>
    </row>
    <row r="2144" spans="1:10" x14ac:dyDescent="0.35">
      <c r="A2144" t="str">
        <f t="shared" si="372"/>
        <v>JAN</v>
      </c>
      <c r="B2144" t="str">
        <f t="shared" si="373"/>
        <v>21</v>
      </c>
      <c r="C2144" t="str">
        <f t="shared" si="374"/>
        <v>2020/21</v>
      </c>
      <c r="D2144" t="str">
        <f t="shared" si="383"/>
        <v>SS SL 114906</v>
      </c>
      <c r="E2144" t="str">
        <f t="shared" si="375"/>
        <v>SS</v>
      </c>
      <c r="F2144" t="s">
        <v>25</v>
      </c>
      <c r="G2144" t="s">
        <v>22</v>
      </c>
      <c r="H2144">
        <v>664</v>
      </c>
      <c r="I2144" t="str">
        <f t="shared" si="381"/>
        <v>Future Directions CIC</v>
      </c>
      <c r="J2144" t="str">
        <f t="shared" si="382"/>
        <v>Endeavour House (Future Directions) Private Contractors Agency And Contracted Services Supported Living Adult Health &amp; Social Care</v>
      </c>
    </row>
    <row r="2145" spans="1:10" x14ac:dyDescent="0.35">
      <c r="A2145" t="str">
        <f t="shared" si="372"/>
        <v>JAN</v>
      </c>
      <c r="B2145" t="str">
        <f t="shared" si="373"/>
        <v>21</v>
      </c>
      <c r="C2145" t="str">
        <f t="shared" si="374"/>
        <v>2020/21</v>
      </c>
      <c r="D2145" t="str">
        <f t="shared" si="383"/>
        <v>SS SL 114906</v>
      </c>
      <c r="E2145" t="str">
        <f t="shared" si="375"/>
        <v>SS</v>
      </c>
      <c r="F2145" t="s">
        <v>25</v>
      </c>
      <c r="G2145" t="s">
        <v>22</v>
      </c>
      <c r="H2145">
        <v>498</v>
      </c>
      <c r="I2145" t="str">
        <f t="shared" si="381"/>
        <v>Future Directions CIC</v>
      </c>
      <c r="J2145" t="str">
        <f t="shared" si="382"/>
        <v>Endeavour House (Future Directions) Private Contractors Agency And Contracted Services Supported Living Adult Health &amp; Social Care</v>
      </c>
    </row>
    <row r="2146" spans="1:10" x14ac:dyDescent="0.35">
      <c r="A2146" t="str">
        <f t="shared" si="372"/>
        <v>JAN</v>
      </c>
      <c r="B2146" t="str">
        <f t="shared" si="373"/>
        <v>21</v>
      </c>
      <c r="C2146" t="str">
        <f t="shared" si="374"/>
        <v>2020/21</v>
      </c>
      <c r="D2146" t="str">
        <f t="shared" si="383"/>
        <v>SS SL 114906</v>
      </c>
      <c r="E2146" t="str">
        <f t="shared" si="375"/>
        <v>SS</v>
      </c>
      <c r="F2146" t="s">
        <v>25</v>
      </c>
      <c r="G2146" t="s">
        <v>22</v>
      </c>
      <c r="H2146">
        <v>154.88</v>
      </c>
      <c r="I2146" t="str">
        <f t="shared" si="381"/>
        <v>Future Directions CIC</v>
      </c>
      <c r="J2146" t="str">
        <f t="shared" si="382"/>
        <v>Endeavour House (Future Directions) Private Contractors Agency And Contracted Services Supported Living Adult Health &amp; Social Care</v>
      </c>
    </row>
    <row r="2147" spans="1:10" x14ac:dyDescent="0.35">
      <c r="A2147" t="str">
        <f t="shared" si="372"/>
        <v>JAN</v>
      </c>
      <c r="B2147" t="str">
        <f t="shared" si="373"/>
        <v>21</v>
      </c>
      <c r="C2147" t="str">
        <f t="shared" si="374"/>
        <v>2020/21</v>
      </c>
      <c r="D2147" t="str">
        <f>"SS SL 114903"</f>
        <v>SS SL 114903</v>
      </c>
      <c r="E2147" t="str">
        <f t="shared" si="375"/>
        <v>SS</v>
      </c>
      <c r="F2147" t="s">
        <v>25</v>
      </c>
      <c r="G2147" t="s">
        <v>22</v>
      </c>
      <c r="H2147">
        <v>4801.75</v>
      </c>
      <c r="I2147" t="str">
        <f t="shared" si="381"/>
        <v>Future Directions CIC</v>
      </c>
      <c r="J2147" t="str">
        <f t="shared" si="382"/>
        <v>Endeavour House (Future Directions) Private Contractors Agency And Contracted Services Supported Living Adult Health &amp; Social Care</v>
      </c>
    </row>
    <row r="2148" spans="1:10" x14ac:dyDescent="0.35">
      <c r="A2148" t="str">
        <f t="shared" si="372"/>
        <v>JAN</v>
      </c>
      <c r="B2148" t="str">
        <f t="shared" si="373"/>
        <v>21</v>
      </c>
      <c r="C2148" t="str">
        <f t="shared" si="374"/>
        <v>2020/21</v>
      </c>
      <c r="D2148" t="str">
        <f>"SS SL 114904"</f>
        <v>SS SL 114904</v>
      </c>
      <c r="E2148" t="str">
        <f t="shared" si="375"/>
        <v>SS</v>
      </c>
      <c r="F2148" t="s">
        <v>25</v>
      </c>
      <c r="G2148" t="s">
        <v>22</v>
      </c>
      <c r="H2148">
        <v>3130.92</v>
      </c>
      <c r="I2148" t="str">
        <f t="shared" si="381"/>
        <v>Future Directions CIC</v>
      </c>
      <c r="J2148" t="str">
        <f t="shared" si="382"/>
        <v>Endeavour House (Future Directions) Private Contractors Agency And Contracted Services Supported Living Adult Health &amp; Social Care</v>
      </c>
    </row>
    <row r="2149" spans="1:10" x14ac:dyDescent="0.35">
      <c r="A2149" t="str">
        <f t="shared" si="372"/>
        <v>JAN</v>
      </c>
      <c r="B2149" t="str">
        <f t="shared" si="373"/>
        <v>21</v>
      </c>
      <c r="C2149" t="str">
        <f t="shared" si="374"/>
        <v>2020/21</v>
      </c>
      <c r="D2149" t="str">
        <f>"SS SL 114903"</f>
        <v>SS SL 114903</v>
      </c>
      <c r="E2149" t="str">
        <f t="shared" si="375"/>
        <v>SS</v>
      </c>
      <c r="F2149" t="s">
        <v>25</v>
      </c>
      <c r="G2149" t="s">
        <v>22</v>
      </c>
      <c r="H2149">
        <v>4366</v>
      </c>
      <c r="I2149" t="str">
        <f t="shared" si="381"/>
        <v>Future Directions CIC</v>
      </c>
      <c r="J2149" t="str">
        <f t="shared" si="382"/>
        <v>Endeavour House (Future Directions) Private Contractors Agency And Contracted Services Supported Living Adult Health &amp; Social Care</v>
      </c>
    </row>
    <row r="2150" spans="1:10" x14ac:dyDescent="0.35">
      <c r="A2150" t="str">
        <f t="shared" si="372"/>
        <v>JAN</v>
      </c>
      <c r="B2150" t="str">
        <f t="shared" si="373"/>
        <v>21</v>
      </c>
      <c r="C2150" t="str">
        <f t="shared" si="374"/>
        <v>2020/21</v>
      </c>
      <c r="D2150" t="str">
        <f>"SS SL 114903"</f>
        <v>SS SL 114903</v>
      </c>
      <c r="E2150" t="str">
        <f t="shared" si="375"/>
        <v>SS</v>
      </c>
      <c r="F2150" t="s">
        <v>25</v>
      </c>
      <c r="G2150" t="s">
        <v>22</v>
      </c>
      <c r="H2150">
        <v>4386.75</v>
      </c>
      <c r="I2150" t="str">
        <f t="shared" si="381"/>
        <v>Future Directions CIC</v>
      </c>
      <c r="J2150" t="str">
        <f t="shared" si="382"/>
        <v>Endeavour House (Future Directions) Private Contractors Agency And Contracted Services Supported Living Adult Health &amp; Social Care</v>
      </c>
    </row>
    <row r="2151" spans="1:10" x14ac:dyDescent="0.35">
      <c r="A2151" t="str">
        <f t="shared" si="372"/>
        <v>JAN</v>
      </c>
      <c r="B2151" t="str">
        <f t="shared" si="373"/>
        <v>21</v>
      </c>
      <c r="C2151" t="str">
        <f t="shared" si="374"/>
        <v>2020/21</v>
      </c>
      <c r="D2151" t="str">
        <f>"SS SL 114903"</f>
        <v>SS SL 114903</v>
      </c>
      <c r="E2151" t="str">
        <f t="shared" si="375"/>
        <v>SS</v>
      </c>
      <c r="F2151" t="s">
        <v>25</v>
      </c>
      <c r="G2151" t="s">
        <v>22</v>
      </c>
      <c r="H2151">
        <v>4366</v>
      </c>
      <c r="I2151" t="str">
        <f t="shared" si="381"/>
        <v>Future Directions CIC</v>
      </c>
      <c r="J2151" t="str">
        <f t="shared" si="382"/>
        <v>Endeavour House (Future Directions) Private Contractors Agency And Contracted Services Supported Living Adult Health &amp; Social Care</v>
      </c>
    </row>
    <row r="2152" spans="1:10" x14ac:dyDescent="0.35">
      <c r="A2152" t="str">
        <f t="shared" si="372"/>
        <v>JAN</v>
      </c>
      <c r="B2152" t="str">
        <f t="shared" si="373"/>
        <v>21</v>
      </c>
      <c r="C2152" t="str">
        <f t="shared" si="374"/>
        <v>2020/21</v>
      </c>
      <c r="D2152" t="str">
        <f>"SS SL 114904"</f>
        <v>SS SL 114904</v>
      </c>
      <c r="E2152" t="str">
        <f t="shared" si="375"/>
        <v>SS</v>
      </c>
      <c r="F2152" t="s">
        <v>25</v>
      </c>
      <c r="G2152" t="s">
        <v>22</v>
      </c>
      <c r="H2152">
        <v>3415.65</v>
      </c>
      <c r="I2152" t="str">
        <f t="shared" si="381"/>
        <v>Future Directions CIC</v>
      </c>
      <c r="J2152" t="str">
        <f t="shared" si="382"/>
        <v>Endeavour House (Future Directions) Private Contractors Agency And Contracted Services Supported Living Adult Health &amp; Social Care</v>
      </c>
    </row>
    <row r="2153" spans="1:10" x14ac:dyDescent="0.35">
      <c r="A2153" t="str">
        <f t="shared" si="372"/>
        <v>JAN</v>
      </c>
      <c r="B2153" t="str">
        <f t="shared" si="373"/>
        <v>21</v>
      </c>
      <c r="C2153" t="str">
        <f t="shared" si="374"/>
        <v>2020/21</v>
      </c>
      <c r="D2153" t="str">
        <f t="shared" ref="D2153:D2159" si="384">"SS SL 114847"</f>
        <v>SS SL 114847</v>
      </c>
      <c r="E2153" t="str">
        <f t="shared" si="375"/>
        <v>SS</v>
      </c>
      <c r="F2153" t="s">
        <v>25</v>
      </c>
      <c r="G2153" t="s">
        <v>22</v>
      </c>
      <c r="H2153">
        <v>2390.4</v>
      </c>
      <c r="I2153" t="str">
        <f t="shared" ref="I2153:I2159" si="385">"The Mayfield Trust"</f>
        <v>The Mayfield Trust</v>
      </c>
      <c r="J2153" t="str">
        <f t="shared" ref="J2153:J2159" si="386"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2154" spans="1:10" x14ac:dyDescent="0.35">
      <c r="A2154" t="str">
        <f t="shared" si="372"/>
        <v>JAN</v>
      </c>
      <c r="B2154" t="str">
        <f t="shared" si="373"/>
        <v>21</v>
      </c>
      <c r="C2154" t="str">
        <f t="shared" si="374"/>
        <v>2020/21</v>
      </c>
      <c r="D2154" t="str">
        <f t="shared" si="384"/>
        <v>SS SL 114847</v>
      </c>
      <c r="E2154" t="str">
        <f t="shared" si="375"/>
        <v>SS</v>
      </c>
      <c r="F2154" t="s">
        <v>25</v>
      </c>
      <c r="G2154" t="s">
        <v>22</v>
      </c>
      <c r="H2154">
        <v>2390.4</v>
      </c>
      <c r="I2154" t="str">
        <f t="shared" si="385"/>
        <v>The Mayfield Trust</v>
      </c>
      <c r="J2154" t="str">
        <f t="shared" si="386"/>
        <v>Dalecroft (Mayfield Trust) Private Contractors Agency And Contracted Services Supported Living Adult Health &amp; Social Care</v>
      </c>
    </row>
    <row r="2155" spans="1:10" x14ac:dyDescent="0.35">
      <c r="A2155" t="str">
        <f t="shared" si="372"/>
        <v>JAN</v>
      </c>
      <c r="B2155" t="str">
        <f t="shared" si="373"/>
        <v>21</v>
      </c>
      <c r="C2155" t="str">
        <f t="shared" si="374"/>
        <v>2020/21</v>
      </c>
      <c r="D2155" t="str">
        <f t="shared" si="384"/>
        <v>SS SL 114847</v>
      </c>
      <c r="E2155" t="str">
        <f t="shared" si="375"/>
        <v>SS</v>
      </c>
      <c r="F2155" t="s">
        <v>25</v>
      </c>
      <c r="G2155" t="s">
        <v>22</v>
      </c>
      <c r="H2155">
        <v>3718.4</v>
      </c>
      <c r="I2155" t="str">
        <f t="shared" si="385"/>
        <v>The Mayfield Trust</v>
      </c>
      <c r="J2155" t="str">
        <f t="shared" si="386"/>
        <v>Dalecroft (Mayfield Trust) Private Contractors Agency And Contracted Services Supported Living Adult Health &amp; Social Care</v>
      </c>
    </row>
    <row r="2156" spans="1:10" x14ac:dyDescent="0.35">
      <c r="A2156" t="str">
        <f t="shared" si="372"/>
        <v>JAN</v>
      </c>
      <c r="B2156" t="str">
        <f t="shared" si="373"/>
        <v>21</v>
      </c>
      <c r="C2156" t="str">
        <f t="shared" si="374"/>
        <v>2020/21</v>
      </c>
      <c r="D2156" t="str">
        <f t="shared" si="384"/>
        <v>SS SL 114847</v>
      </c>
      <c r="E2156" t="str">
        <f t="shared" si="375"/>
        <v>SS</v>
      </c>
      <c r="F2156" t="s">
        <v>25</v>
      </c>
      <c r="G2156" t="s">
        <v>22</v>
      </c>
      <c r="H2156">
        <v>2390.4</v>
      </c>
      <c r="I2156" t="str">
        <f t="shared" si="385"/>
        <v>The Mayfield Trust</v>
      </c>
      <c r="J2156" t="str">
        <f t="shared" si="386"/>
        <v>Dalecroft (Mayfield Trust) Private Contractors Agency And Contracted Services Supported Living Adult Health &amp; Social Care</v>
      </c>
    </row>
    <row r="2157" spans="1:10" x14ac:dyDescent="0.35">
      <c r="A2157" t="str">
        <f t="shared" si="372"/>
        <v>JAN</v>
      </c>
      <c r="B2157" t="str">
        <f t="shared" si="373"/>
        <v>21</v>
      </c>
      <c r="C2157" t="str">
        <f t="shared" si="374"/>
        <v>2020/21</v>
      </c>
      <c r="D2157" t="str">
        <f t="shared" si="384"/>
        <v>SS SL 114847</v>
      </c>
      <c r="E2157" t="str">
        <f t="shared" si="375"/>
        <v>SS</v>
      </c>
      <c r="F2157" t="s">
        <v>25</v>
      </c>
      <c r="G2157" t="s">
        <v>22</v>
      </c>
      <c r="H2157">
        <v>6739.6</v>
      </c>
      <c r="I2157" t="str">
        <f t="shared" si="385"/>
        <v>The Mayfield Trust</v>
      </c>
      <c r="J2157" t="str">
        <f t="shared" si="386"/>
        <v>Dalecroft (Mayfield Trust) Private Contractors Agency And Contracted Services Supported Living Adult Health &amp; Social Care</v>
      </c>
    </row>
    <row r="2158" spans="1:10" x14ac:dyDescent="0.35">
      <c r="A2158" t="str">
        <f t="shared" si="372"/>
        <v>JAN</v>
      </c>
      <c r="B2158" t="str">
        <f t="shared" si="373"/>
        <v>21</v>
      </c>
      <c r="C2158" t="str">
        <f t="shared" si="374"/>
        <v>2020/21</v>
      </c>
      <c r="D2158" t="str">
        <f t="shared" si="384"/>
        <v>SS SL 114847</v>
      </c>
      <c r="E2158" t="str">
        <f t="shared" si="375"/>
        <v>SS</v>
      </c>
      <c r="F2158" t="s">
        <v>25</v>
      </c>
      <c r="G2158" t="s">
        <v>22</v>
      </c>
      <c r="H2158">
        <v>2390.4</v>
      </c>
      <c r="I2158" t="str">
        <f t="shared" si="385"/>
        <v>The Mayfield Trust</v>
      </c>
      <c r="J2158" t="str">
        <f t="shared" si="386"/>
        <v>Dalecroft (Mayfield Trust) Private Contractors Agency And Contracted Services Supported Living Adult Health &amp; Social Care</v>
      </c>
    </row>
    <row r="2159" spans="1:10" x14ac:dyDescent="0.35">
      <c r="A2159" t="str">
        <f t="shared" si="372"/>
        <v>JAN</v>
      </c>
      <c r="B2159" t="str">
        <f t="shared" si="373"/>
        <v>21</v>
      </c>
      <c r="C2159" t="str">
        <f t="shared" si="374"/>
        <v>2020/21</v>
      </c>
      <c r="D2159" t="str">
        <f t="shared" si="384"/>
        <v>SS SL 114847</v>
      </c>
      <c r="E2159" t="str">
        <f t="shared" si="375"/>
        <v>SS</v>
      </c>
      <c r="F2159" t="s">
        <v>25</v>
      </c>
      <c r="G2159" t="s">
        <v>22</v>
      </c>
      <c r="H2159">
        <v>3320</v>
      </c>
      <c r="I2159" t="str">
        <f t="shared" si="385"/>
        <v>The Mayfield Trust</v>
      </c>
      <c r="J2159" t="str">
        <f t="shared" si="386"/>
        <v>Dalecroft (Mayfield Trust) Private Contractors Agency And Contracted Services Supported Living Adult Health &amp; Social Care</v>
      </c>
    </row>
    <row r="2160" spans="1:10" x14ac:dyDescent="0.35">
      <c r="A2160" t="str">
        <f t="shared" si="372"/>
        <v>JAN</v>
      </c>
      <c r="B2160" t="str">
        <f t="shared" si="373"/>
        <v>21</v>
      </c>
      <c r="C2160" t="str">
        <f t="shared" si="374"/>
        <v>2020/21</v>
      </c>
      <c r="D2160" t="str">
        <f t="shared" ref="D2160:D2165" si="387">"SS SL 114891"</f>
        <v>SS SL 114891</v>
      </c>
      <c r="E2160" t="str">
        <f t="shared" si="375"/>
        <v>SS</v>
      </c>
      <c r="F2160" t="s">
        <v>25</v>
      </c>
      <c r="G2160" t="s">
        <v>22</v>
      </c>
      <c r="H2160">
        <v>5345.2</v>
      </c>
      <c r="I2160" t="str">
        <f t="shared" ref="I2160:I2181" si="388">"Creative Support Ltd"</f>
        <v>Creative Support Ltd</v>
      </c>
      <c r="J2160" t="str">
        <f t="shared" ref="J2160:J2165" si="389"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2161" spans="1:10" x14ac:dyDescent="0.35">
      <c r="A2161" t="str">
        <f t="shared" si="372"/>
        <v>JAN</v>
      </c>
      <c r="B2161" t="str">
        <f t="shared" si="373"/>
        <v>21</v>
      </c>
      <c r="C2161" t="str">
        <f t="shared" si="374"/>
        <v>2020/21</v>
      </c>
      <c r="D2161" t="str">
        <f t="shared" si="387"/>
        <v>SS SL 114891</v>
      </c>
      <c r="E2161" t="str">
        <f t="shared" si="375"/>
        <v>SS</v>
      </c>
      <c r="F2161" t="s">
        <v>25</v>
      </c>
      <c r="G2161" t="s">
        <v>22</v>
      </c>
      <c r="H2161">
        <v>4150</v>
      </c>
      <c r="I2161" t="str">
        <f t="shared" si="388"/>
        <v>Creative Support Ltd</v>
      </c>
      <c r="J2161" t="str">
        <f t="shared" si="389"/>
        <v>Lingroyd Avenue (Creative Support) Private Contractors Agency And Contracted Services Supported Living Adult Health &amp; Social Care</v>
      </c>
    </row>
    <row r="2162" spans="1:10" x14ac:dyDescent="0.35">
      <c r="A2162" t="str">
        <f t="shared" si="372"/>
        <v>JAN</v>
      </c>
      <c r="B2162" t="str">
        <f t="shared" si="373"/>
        <v>21</v>
      </c>
      <c r="C2162" t="str">
        <f t="shared" si="374"/>
        <v>2020/21</v>
      </c>
      <c r="D2162" t="str">
        <f t="shared" si="387"/>
        <v>SS SL 114891</v>
      </c>
      <c r="E2162" t="str">
        <f t="shared" si="375"/>
        <v>SS</v>
      </c>
      <c r="F2162" t="s">
        <v>25</v>
      </c>
      <c r="G2162" t="s">
        <v>22</v>
      </c>
      <c r="H2162">
        <v>2284.8000000000002</v>
      </c>
      <c r="I2162" t="str">
        <f t="shared" si="388"/>
        <v>Creative Support Ltd</v>
      </c>
      <c r="J2162" t="str">
        <f t="shared" si="389"/>
        <v>Lingroyd Avenue (Creative Support) Private Contractors Agency And Contracted Services Supported Living Adult Health &amp; Social Care</v>
      </c>
    </row>
    <row r="2163" spans="1:10" x14ac:dyDescent="0.35">
      <c r="A2163" t="str">
        <f t="shared" ref="A2163:A2226" si="390">"JAN"</f>
        <v>JAN</v>
      </c>
      <c r="B2163" t="str">
        <f t="shared" ref="B2163:B2226" si="391">"21"</f>
        <v>21</v>
      </c>
      <c r="C2163" t="str">
        <f t="shared" si="374"/>
        <v>2020/21</v>
      </c>
      <c r="D2163" t="str">
        <f t="shared" si="387"/>
        <v>SS SL 114891</v>
      </c>
      <c r="E2163" t="str">
        <f t="shared" si="375"/>
        <v>SS</v>
      </c>
      <c r="F2163" t="s">
        <v>25</v>
      </c>
      <c r="G2163" t="s">
        <v>22</v>
      </c>
      <c r="H2163">
        <v>2284.8000000000002</v>
      </c>
      <c r="I2163" t="str">
        <f t="shared" si="388"/>
        <v>Creative Support Ltd</v>
      </c>
      <c r="J2163" t="str">
        <f t="shared" si="389"/>
        <v>Lingroyd Avenue (Creative Support) Private Contractors Agency And Contracted Services Supported Living Adult Health &amp; Social Care</v>
      </c>
    </row>
    <row r="2164" spans="1:10" x14ac:dyDescent="0.35">
      <c r="A2164" t="str">
        <f t="shared" si="390"/>
        <v>JAN</v>
      </c>
      <c r="B2164" t="str">
        <f t="shared" si="391"/>
        <v>21</v>
      </c>
      <c r="C2164" t="str">
        <f t="shared" si="374"/>
        <v>2020/21</v>
      </c>
      <c r="D2164" t="str">
        <f t="shared" si="387"/>
        <v>SS SL 114891</v>
      </c>
      <c r="E2164" t="str">
        <f t="shared" si="375"/>
        <v>SS</v>
      </c>
      <c r="F2164" t="s">
        <v>25</v>
      </c>
      <c r="G2164" t="s">
        <v>22</v>
      </c>
      <c r="H2164">
        <v>5345.2</v>
      </c>
      <c r="I2164" t="str">
        <f t="shared" si="388"/>
        <v>Creative Support Ltd</v>
      </c>
      <c r="J2164" t="str">
        <f t="shared" si="389"/>
        <v>Lingroyd Avenue (Creative Support) Private Contractors Agency And Contracted Services Supported Living Adult Health &amp; Social Care</v>
      </c>
    </row>
    <row r="2165" spans="1:10" x14ac:dyDescent="0.35">
      <c r="A2165" t="str">
        <f t="shared" si="390"/>
        <v>JAN</v>
      </c>
      <c r="B2165" t="str">
        <f t="shared" si="391"/>
        <v>21</v>
      </c>
      <c r="C2165" t="str">
        <f t="shared" si="374"/>
        <v>2020/21</v>
      </c>
      <c r="D2165" t="str">
        <f t="shared" si="387"/>
        <v>SS SL 114891</v>
      </c>
      <c r="E2165" t="str">
        <f t="shared" si="375"/>
        <v>SS</v>
      </c>
      <c r="F2165" t="s">
        <v>25</v>
      </c>
      <c r="G2165" t="s">
        <v>22</v>
      </c>
      <c r="H2165">
        <v>4150</v>
      </c>
      <c r="I2165" t="str">
        <f t="shared" si="388"/>
        <v>Creative Support Ltd</v>
      </c>
      <c r="J2165" t="str">
        <f t="shared" si="389"/>
        <v>Lingroyd Avenue (Creative Support) Private Contractors Agency And Contracted Services Supported Living Adult Health &amp; Social Care</v>
      </c>
    </row>
    <row r="2166" spans="1:10" x14ac:dyDescent="0.35">
      <c r="A2166" t="str">
        <f t="shared" si="390"/>
        <v>JAN</v>
      </c>
      <c r="B2166" t="str">
        <f t="shared" si="391"/>
        <v>21</v>
      </c>
      <c r="C2166" t="str">
        <f t="shared" si="374"/>
        <v>2020/21</v>
      </c>
      <c r="D2166" t="str">
        <f>"SS SL 114883"</f>
        <v>SS SL 114883</v>
      </c>
      <c r="E2166" t="str">
        <f t="shared" si="375"/>
        <v>SS</v>
      </c>
      <c r="F2166" t="s">
        <v>25</v>
      </c>
      <c r="G2166" t="s">
        <v>22</v>
      </c>
      <c r="H2166">
        <v>16560.8</v>
      </c>
      <c r="I2166" t="str">
        <f t="shared" si="388"/>
        <v>Creative Support Ltd</v>
      </c>
      <c r="J2166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2167" spans="1:10" x14ac:dyDescent="0.35">
      <c r="A2167" t="str">
        <f t="shared" si="390"/>
        <v>JAN</v>
      </c>
      <c r="B2167" t="str">
        <f t="shared" si="391"/>
        <v>21</v>
      </c>
      <c r="C2167" t="str">
        <f t="shared" si="374"/>
        <v>2020/21</v>
      </c>
      <c r="D2167" t="str">
        <f t="shared" ref="D2167:D2172" si="392">"SS SL 114882"</f>
        <v>SS SL 114882</v>
      </c>
      <c r="E2167" t="str">
        <f t="shared" si="375"/>
        <v>SS</v>
      </c>
      <c r="F2167" t="s">
        <v>25</v>
      </c>
      <c r="G2167" t="s">
        <v>22</v>
      </c>
      <c r="H2167">
        <v>2158</v>
      </c>
      <c r="I2167" t="str">
        <f t="shared" si="388"/>
        <v>Creative Support Ltd</v>
      </c>
      <c r="J2167" t="str">
        <f t="shared" ref="J2167:J2172" si="393"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2168" spans="1:10" x14ac:dyDescent="0.35">
      <c r="A2168" t="str">
        <f t="shared" si="390"/>
        <v>JAN</v>
      </c>
      <c r="B2168" t="str">
        <f t="shared" si="391"/>
        <v>21</v>
      </c>
      <c r="C2168" t="str">
        <f t="shared" si="374"/>
        <v>2020/21</v>
      </c>
      <c r="D2168" t="str">
        <f t="shared" si="392"/>
        <v>SS SL 114882</v>
      </c>
      <c r="E2168" t="str">
        <f t="shared" si="375"/>
        <v>SS</v>
      </c>
      <c r="F2168" t="s">
        <v>25</v>
      </c>
      <c r="G2168" t="s">
        <v>22</v>
      </c>
      <c r="H2168">
        <v>2490</v>
      </c>
      <c r="I2168" t="str">
        <f t="shared" si="388"/>
        <v>Creative Support Ltd</v>
      </c>
      <c r="J2168" t="str">
        <f t="shared" si="393"/>
        <v>Railway Terrace (Creative Support) Private Contractors Agency And Contracted Services Supported Living Adult Health &amp; Social Care</v>
      </c>
    </row>
    <row r="2169" spans="1:10" x14ac:dyDescent="0.35">
      <c r="A2169" t="str">
        <f t="shared" si="390"/>
        <v>JAN</v>
      </c>
      <c r="B2169" t="str">
        <f t="shared" si="391"/>
        <v>21</v>
      </c>
      <c r="C2169" t="str">
        <f t="shared" si="374"/>
        <v>2020/21</v>
      </c>
      <c r="D2169" t="str">
        <f t="shared" si="392"/>
        <v>SS SL 114882</v>
      </c>
      <c r="E2169" t="str">
        <f t="shared" si="375"/>
        <v>SS</v>
      </c>
      <c r="F2169" t="s">
        <v>25</v>
      </c>
      <c r="G2169" t="s">
        <v>22</v>
      </c>
      <c r="H2169">
        <v>2284.8000000000002</v>
      </c>
      <c r="I2169" t="str">
        <f t="shared" si="388"/>
        <v>Creative Support Ltd</v>
      </c>
      <c r="J2169" t="str">
        <f t="shared" si="393"/>
        <v>Railway Terrace (Creative Support) Private Contractors Agency And Contracted Services Supported Living Adult Health &amp; Social Care</v>
      </c>
    </row>
    <row r="2170" spans="1:10" x14ac:dyDescent="0.35">
      <c r="A2170" t="str">
        <f t="shared" si="390"/>
        <v>JAN</v>
      </c>
      <c r="B2170" t="str">
        <f t="shared" si="391"/>
        <v>21</v>
      </c>
      <c r="C2170" t="str">
        <f t="shared" si="374"/>
        <v>2020/21</v>
      </c>
      <c r="D2170" t="str">
        <f t="shared" si="392"/>
        <v>SS SL 114882</v>
      </c>
      <c r="E2170" t="str">
        <f t="shared" si="375"/>
        <v>SS</v>
      </c>
      <c r="F2170" t="s">
        <v>25</v>
      </c>
      <c r="G2170" t="s">
        <v>22</v>
      </c>
      <c r="H2170">
        <v>1626.8</v>
      </c>
      <c r="I2170" t="str">
        <f t="shared" si="388"/>
        <v>Creative Support Ltd</v>
      </c>
      <c r="J2170" t="str">
        <f t="shared" si="393"/>
        <v>Railway Terrace (Creative Support) Private Contractors Agency And Contracted Services Supported Living Adult Health &amp; Social Care</v>
      </c>
    </row>
    <row r="2171" spans="1:10" x14ac:dyDescent="0.35">
      <c r="A2171" t="str">
        <f t="shared" si="390"/>
        <v>JAN</v>
      </c>
      <c r="B2171" t="str">
        <f t="shared" si="391"/>
        <v>21</v>
      </c>
      <c r="C2171" t="str">
        <f t="shared" si="374"/>
        <v>2020/21</v>
      </c>
      <c r="D2171" t="str">
        <f t="shared" si="392"/>
        <v>SS SL 114882</v>
      </c>
      <c r="E2171" t="str">
        <f t="shared" si="375"/>
        <v>SS</v>
      </c>
      <c r="F2171" t="s">
        <v>25</v>
      </c>
      <c r="G2171" t="s">
        <v>22</v>
      </c>
      <c r="H2171">
        <v>2158</v>
      </c>
      <c r="I2171" t="str">
        <f t="shared" si="388"/>
        <v>Creative Support Ltd</v>
      </c>
      <c r="J2171" t="str">
        <f t="shared" si="393"/>
        <v>Railway Terrace (Creative Support) Private Contractors Agency And Contracted Services Supported Living Adult Health &amp; Social Care</v>
      </c>
    </row>
    <row r="2172" spans="1:10" x14ac:dyDescent="0.35">
      <c r="A2172" t="str">
        <f t="shared" si="390"/>
        <v>JAN</v>
      </c>
      <c r="B2172" t="str">
        <f t="shared" si="391"/>
        <v>21</v>
      </c>
      <c r="C2172" t="str">
        <f t="shared" si="374"/>
        <v>2020/21</v>
      </c>
      <c r="D2172" t="str">
        <f t="shared" si="392"/>
        <v>SS SL 114882</v>
      </c>
      <c r="E2172" t="str">
        <f t="shared" si="375"/>
        <v>SS</v>
      </c>
      <c r="F2172" t="s">
        <v>25</v>
      </c>
      <c r="G2172" t="s">
        <v>22</v>
      </c>
      <c r="H2172">
        <v>2357.1999999999998</v>
      </c>
      <c r="I2172" t="str">
        <f t="shared" si="388"/>
        <v>Creative Support Ltd</v>
      </c>
      <c r="J2172" t="str">
        <f t="shared" si="393"/>
        <v>Railway Terrace (Creative Support) Private Contractors Agency And Contracted Services Supported Living Adult Health &amp; Social Care</v>
      </c>
    </row>
    <row r="2173" spans="1:10" x14ac:dyDescent="0.35">
      <c r="A2173" t="str">
        <f t="shared" si="390"/>
        <v>JAN</v>
      </c>
      <c r="B2173" t="str">
        <f t="shared" si="391"/>
        <v>21</v>
      </c>
      <c r="C2173" t="str">
        <f t="shared" si="374"/>
        <v>2020/21</v>
      </c>
      <c r="D2173" t="str">
        <f>"SS SL 114884"</f>
        <v>SS SL 114884</v>
      </c>
      <c r="E2173" t="str">
        <f t="shared" si="375"/>
        <v>SS</v>
      </c>
      <c r="F2173" t="s">
        <v>25</v>
      </c>
      <c r="G2173" t="s">
        <v>22</v>
      </c>
      <c r="H2173">
        <v>8100.8</v>
      </c>
      <c r="I2173" t="str">
        <f t="shared" si="388"/>
        <v>Creative Support Ltd</v>
      </c>
      <c r="J2173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2174" spans="1:10" x14ac:dyDescent="0.35">
      <c r="A2174" t="str">
        <f t="shared" si="390"/>
        <v>JAN</v>
      </c>
      <c r="B2174" t="str">
        <f t="shared" si="391"/>
        <v>21</v>
      </c>
      <c r="C2174" t="str">
        <f t="shared" si="374"/>
        <v>2020/21</v>
      </c>
      <c r="D2174" t="str">
        <f>"SS SL 114884"</f>
        <v>SS SL 114884</v>
      </c>
      <c r="E2174" t="str">
        <f t="shared" si="375"/>
        <v>SS</v>
      </c>
      <c r="F2174" t="s">
        <v>25</v>
      </c>
      <c r="G2174" t="s">
        <v>22</v>
      </c>
      <c r="H2174">
        <v>3452.8</v>
      </c>
      <c r="I2174" t="str">
        <f t="shared" si="388"/>
        <v>Creative Support Ltd</v>
      </c>
      <c r="J2174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2175" spans="1:10" x14ac:dyDescent="0.35">
      <c r="A2175" t="str">
        <f t="shared" si="390"/>
        <v>JAN</v>
      </c>
      <c r="B2175" t="str">
        <f t="shared" si="391"/>
        <v>21</v>
      </c>
      <c r="C2175" t="str">
        <f t="shared" si="374"/>
        <v>2020/21</v>
      </c>
      <c r="D2175" t="str">
        <f>"SS SL 114884"</f>
        <v>SS SL 114884</v>
      </c>
      <c r="E2175" t="str">
        <f t="shared" si="375"/>
        <v>SS</v>
      </c>
      <c r="F2175" t="s">
        <v>25</v>
      </c>
      <c r="G2175" t="s">
        <v>22</v>
      </c>
      <c r="H2175">
        <v>3452.8</v>
      </c>
      <c r="I2175" t="str">
        <f t="shared" si="388"/>
        <v>Creative Support Ltd</v>
      </c>
      <c r="J2175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2176" spans="1:10" x14ac:dyDescent="0.35">
      <c r="A2176" t="str">
        <f t="shared" si="390"/>
        <v>JAN</v>
      </c>
      <c r="B2176" t="str">
        <f t="shared" si="391"/>
        <v>21</v>
      </c>
      <c r="C2176" t="str">
        <f t="shared" si="374"/>
        <v>2020/21</v>
      </c>
      <c r="D2176" t="str">
        <f>"SS SL 114884"</f>
        <v>SS SL 114884</v>
      </c>
      <c r="E2176" t="str">
        <f t="shared" si="375"/>
        <v>SS</v>
      </c>
      <c r="F2176" t="s">
        <v>25</v>
      </c>
      <c r="G2176" t="s">
        <v>22</v>
      </c>
      <c r="H2176">
        <v>2284.8000000000002</v>
      </c>
      <c r="I2176" t="str">
        <f t="shared" si="388"/>
        <v>Creative Support Ltd</v>
      </c>
      <c r="J2176" t="str">
        <f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2177" spans="1:10" x14ac:dyDescent="0.35">
      <c r="A2177" t="str">
        <f t="shared" si="390"/>
        <v>JAN</v>
      </c>
      <c r="B2177" t="str">
        <f t="shared" si="391"/>
        <v>21</v>
      </c>
      <c r="C2177" t="str">
        <f t="shared" si="374"/>
        <v>2020/21</v>
      </c>
      <c r="D2177" t="str">
        <f>"SS SL 114892"</f>
        <v>SS SL 114892</v>
      </c>
      <c r="E2177" t="str">
        <f t="shared" si="375"/>
        <v>SS</v>
      </c>
      <c r="F2177" t="s">
        <v>25</v>
      </c>
      <c r="G2177" t="s">
        <v>22</v>
      </c>
      <c r="H2177">
        <v>2656</v>
      </c>
      <c r="I2177" t="str">
        <f t="shared" si="388"/>
        <v>Creative Support Ltd</v>
      </c>
      <c r="J2177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178" spans="1:10" x14ac:dyDescent="0.35">
      <c r="A2178" t="str">
        <f t="shared" si="390"/>
        <v>JAN</v>
      </c>
      <c r="B2178" t="str">
        <f t="shared" si="391"/>
        <v>21</v>
      </c>
      <c r="C2178" t="str">
        <f t="shared" ref="C2178:C2241" si="394">"2020/21"</f>
        <v>2020/21</v>
      </c>
      <c r="D2178" t="str">
        <f>"SS SL 114892"</f>
        <v>SS SL 114892</v>
      </c>
      <c r="E2178" t="str">
        <f t="shared" ref="E2178:E2241" si="395">LEFT(D2178,2)</f>
        <v>SS</v>
      </c>
      <c r="F2178" t="s">
        <v>25</v>
      </c>
      <c r="G2178" t="s">
        <v>22</v>
      </c>
      <c r="H2178">
        <v>3270.2</v>
      </c>
      <c r="I2178" t="str">
        <f t="shared" si="388"/>
        <v>Creative Support Ltd</v>
      </c>
      <c r="J2178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179" spans="1:10" x14ac:dyDescent="0.35">
      <c r="A2179" t="str">
        <f t="shared" si="390"/>
        <v>JAN</v>
      </c>
      <c r="B2179" t="str">
        <f t="shared" si="391"/>
        <v>21</v>
      </c>
      <c r="C2179" t="str">
        <f t="shared" si="394"/>
        <v>2020/21</v>
      </c>
      <c r="D2179" t="str">
        <f>"SS SL 114892"</f>
        <v>SS SL 114892</v>
      </c>
      <c r="E2179" t="str">
        <f t="shared" si="395"/>
        <v>SS</v>
      </c>
      <c r="F2179" t="s">
        <v>25</v>
      </c>
      <c r="G2179" t="s">
        <v>22</v>
      </c>
      <c r="H2179">
        <v>3253.6</v>
      </c>
      <c r="I2179" t="str">
        <f t="shared" si="388"/>
        <v>Creative Support Ltd</v>
      </c>
      <c r="J2179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180" spans="1:10" x14ac:dyDescent="0.35">
      <c r="A2180" t="str">
        <f t="shared" si="390"/>
        <v>JAN</v>
      </c>
      <c r="B2180" t="str">
        <f t="shared" si="391"/>
        <v>21</v>
      </c>
      <c r="C2180" t="str">
        <f t="shared" si="394"/>
        <v>2020/21</v>
      </c>
      <c r="D2180" t="str">
        <f>"SS SL 114892"</f>
        <v>SS SL 114892</v>
      </c>
      <c r="E2180" t="str">
        <f t="shared" si="395"/>
        <v>SS</v>
      </c>
      <c r="F2180" t="s">
        <v>25</v>
      </c>
      <c r="G2180" t="s">
        <v>22</v>
      </c>
      <c r="H2180">
        <v>2788.8</v>
      </c>
      <c r="I2180" t="str">
        <f t="shared" si="388"/>
        <v>Creative Support Ltd</v>
      </c>
      <c r="J2180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181" spans="1:10" x14ac:dyDescent="0.35">
      <c r="A2181" t="str">
        <f t="shared" si="390"/>
        <v>JAN</v>
      </c>
      <c r="B2181" t="str">
        <f t="shared" si="391"/>
        <v>21</v>
      </c>
      <c r="C2181" t="str">
        <f t="shared" si="394"/>
        <v>2020/21</v>
      </c>
      <c r="D2181" t="str">
        <f>"SS SL 114892"</f>
        <v>SS SL 114892</v>
      </c>
      <c r="E2181" t="str">
        <f t="shared" si="395"/>
        <v>SS</v>
      </c>
      <c r="F2181" t="s">
        <v>25</v>
      </c>
      <c r="G2181" t="s">
        <v>22</v>
      </c>
      <c r="H2181">
        <v>2284.8000000000002</v>
      </c>
      <c r="I2181" t="str">
        <f t="shared" si="388"/>
        <v>Creative Support Ltd</v>
      </c>
      <c r="J2181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182" spans="1:10" x14ac:dyDescent="0.35">
      <c r="A2182" t="str">
        <f t="shared" si="390"/>
        <v>JAN</v>
      </c>
      <c r="B2182" t="str">
        <f t="shared" si="391"/>
        <v>21</v>
      </c>
      <c r="C2182" t="str">
        <f t="shared" si="394"/>
        <v>2020/21</v>
      </c>
      <c r="D2182" t="str">
        <f>"SS SL 113638"</f>
        <v>SS SL 113638</v>
      </c>
      <c r="E2182" t="str">
        <f t="shared" si="395"/>
        <v>SS</v>
      </c>
      <c r="F2182" t="s">
        <v>25</v>
      </c>
      <c r="G2182" t="s">
        <v>22</v>
      </c>
      <c r="H2182">
        <v>4849.76</v>
      </c>
      <c r="I2182" t="str">
        <f>"Autism Plus Ltd"</f>
        <v>Autism Plus Ltd</v>
      </c>
      <c r="J2182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2183" spans="1:10" x14ac:dyDescent="0.35">
      <c r="A2183" t="str">
        <f t="shared" si="390"/>
        <v>JAN</v>
      </c>
      <c r="B2183" t="str">
        <f t="shared" si="391"/>
        <v>21</v>
      </c>
      <c r="C2183" t="str">
        <f t="shared" si="394"/>
        <v>2020/21</v>
      </c>
      <c r="D2183" t="str">
        <f>"SS SL 113638"</f>
        <v>SS SL 113638</v>
      </c>
      <c r="E2183" t="str">
        <f t="shared" si="395"/>
        <v>SS</v>
      </c>
      <c r="F2183" t="s">
        <v>25</v>
      </c>
      <c r="G2183" t="s">
        <v>22</v>
      </c>
      <c r="H2183">
        <v>4849.76</v>
      </c>
      <c r="I2183" t="str">
        <f>"Autism Plus Ltd"</f>
        <v>Autism Plus Ltd</v>
      </c>
      <c r="J2183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2184" spans="1:10" x14ac:dyDescent="0.35">
      <c r="A2184" t="str">
        <f t="shared" si="390"/>
        <v>JAN</v>
      </c>
      <c r="B2184" t="str">
        <f t="shared" si="391"/>
        <v>21</v>
      </c>
      <c r="C2184" t="str">
        <f t="shared" si="394"/>
        <v>2020/21</v>
      </c>
      <c r="D2184" t="str">
        <f>"SS SL 113638"</f>
        <v>SS SL 113638</v>
      </c>
      <c r="E2184" t="str">
        <f t="shared" si="395"/>
        <v>SS</v>
      </c>
      <c r="F2184" t="s">
        <v>25</v>
      </c>
      <c r="G2184" t="s">
        <v>22</v>
      </c>
      <c r="H2184">
        <v>4849.76</v>
      </c>
      <c r="I2184" t="str">
        <f>"Autism Plus Ltd"</f>
        <v>Autism Plus Ltd</v>
      </c>
      <c r="J2184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2185" spans="1:10" x14ac:dyDescent="0.35">
      <c r="A2185" t="str">
        <f t="shared" si="390"/>
        <v>JAN</v>
      </c>
      <c r="B2185" t="str">
        <f t="shared" si="391"/>
        <v>21</v>
      </c>
      <c r="C2185" t="str">
        <f t="shared" si="394"/>
        <v>2020/21</v>
      </c>
      <c r="D2185" t="str">
        <f>"SS SL 113638"</f>
        <v>SS SL 113638</v>
      </c>
      <c r="E2185" t="str">
        <f t="shared" si="395"/>
        <v>SS</v>
      </c>
      <c r="F2185" t="s">
        <v>25</v>
      </c>
      <c r="G2185" t="s">
        <v>22</v>
      </c>
      <c r="H2185">
        <v>4849.76</v>
      </c>
      <c r="I2185" t="str">
        <f>"Autism Plus Ltd"</f>
        <v>Autism Plus Ltd</v>
      </c>
      <c r="J2185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2186" spans="1:10" x14ac:dyDescent="0.35">
      <c r="A2186" t="str">
        <f t="shared" si="390"/>
        <v>JAN</v>
      </c>
      <c r="B2186" t="str">
        <f t="shared" si="391"/>
        <v>21</v>
      </c>
      <c r="C2186" t="str">
        <f t="shared" si="394"/>
        <v>2020/21</v>
      </c>
      <c r="D2186" t="str">
        <f>"SS SL 114877"</f>
        <v>SS SL 114877</v>
      </c>
      <c r="E2186" t="str">
        <f t="shared" si="395"/>
        <v>SS</v>
      </c>
      <c r="F2186" t="s">
        <v>25</v>
      </c>
      <c r="G2186" t="s">
        <v>22</v>
      </c>
      <c r="H2186">
        <v>2526.7199999999998</v>
      </c>
      <c r="I2186" t="str">
        <f>"Creative Support Ltd"</f>
        <v>Creative Support Ltd</v>
      </c>
      <c r="J2186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187" spans="1:10" x14ac:dyDescent="0.35">
      <c r="A2187" t="str">
        <f t="shared" si="390"/>
        <v>JAN</v>
      </c>
      <c r="B2187" t="str">
        <f t="shared" si="391"/>
        <v>21</v>
      </c>
      <c r="C2187" t="str">
        <f t="shared" si="394"/>
        <v>2020/21</v>
      </c>
      <c r="D2187" t="str">
        <f>"SS SL 114877"</f>
        <v>SS SL 114877</v>
      </c>
      <c r="E2187" t="str">
        <f t="shared" si="395"/>
        <v>SS</v>
      </c>
      <c r="F2187" t="s">
        <v>25</v>
      </c>
      <c r="G2187" t="s">
        <v>22</v>
      </c>
      <c r="H2187">
        <v>8368.56</v>
      </c>
      <c r="I2187" t="str">
        <f>"Creative Support Ltd"</f>
        <v>Creative Support Ltd</v>
      </c>
      <c r="J2187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188" spans="1:10" x14ac:dyDescent="0.35">
      <c r="A2188" t="str">
        <f t="shared" si="390"/>
        <v>JAN</v>
      </c>
      <c r="B2188" t="str">
        <f t="shared" si="391"/>
        <v>21</v>
      </c>
      <c r="C2188" t="str">
        <f t="shared" si="394"/>
        <v>2020/21</v>
      </c>
      <c r="D2188" t="str">
        <f>"SS SL 114877"</f>
        <v>SS SL 114877</v>
      </c>
      <c r="E2188" t="str">
        <f t="shared" si="395"/>
        <v>SS</v>
      </c>
      <c r="F2188" t="s">
        <v>25</v>
      </c>
      <c r="G2188" t="s">
        <v>22</v>
      </c>
      <c r="H2188">
        <v>-0.05</v>
      </c>
      <c r="I2188" t="str">
        <f>"Creative Support Ltd"</f>
        <v>Creative Support Ltd</v>
      </c>
      <c r="J2188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189" spans="1:10" x14ac:dyDescent="0.35">
      <c r="A2189" t="str">
        <f t="shared" si="390"/>
        <v>JAN</v>
      </c>
      <c r="B2189" t="str">
        <f t="shared" si="391"/>
        <v>21</v>
      </c>
      <c r="C2189" t="str">
        <f t="shared" si="394"/>
        <v>2020/21</v>
      </c>
      <c r="D2189" t="str">
        <f>"SS SL 114877"</f>
        <v>SS SL 114877</v>
      </c>
      <c r="E2189" t="str">
        <f t="shared" si="395"/>
        <v>SS</v>
      </c>
      <c r="F2189" t="s">
        <v>25</v>
      </c>
      <c r="G2189" t="s">
        <v>22</v>
      </c>
      <c r="H2189">
        <v>1493.36</v>
      </c>
      <c r="I2189" t="str">
        <f>"Creative Support Ltd"</f>
        <v>Creative Support Ltd</v>
      </c>
      <c r="J2189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190" spans="1:10" x14ac:dyDescent="0.35">
      <c r="A2190" t="str">
        <f t="shared" si="390"/>
        <v>JAN</v>
      </c>
      <c r="B2190" t="str">
        <f t="shared" si="391"/>
        <v>21</v>
      </c>
      <c r="C2190" t="str">
        <f t="shared" si="394"/>
        <v>2020/21</v>
      </c>
      <c r="D2190" t="str">
        <f>"SS SL 114877"</f>
        <v>SS SL 114877</v>
      </c>
      <c r="E2190" t="str">
        <f t="shared" si="395"/>
        <v>SS</v>
      </c>
      <c r="F2190" t="s">
        <v>25</v>
      </c>
      <c r="G2190" t="s">
        <v>22</v>
      </c>
      <c r="H2190">
        <v>7428.88</v>
      </c>
      <c r="I2190" t="str">
        <f>"Creative Support Ltd"</f>
        <v>Creative Support Ltd</v>
      </c>
      <c r="J2190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191" spans="1:10" x14ac:dyDescent="0.35">
      <c r="A2191" t="str">
        <f t="shared" si="390"/>
        <v>JAN</v>
      </c>
      <c r="B2191" t="str">
        <f t="shared" si="391"/>
        <v>21</v>
      </c>
      <c r="C2191" t="str">
        <f t="shared" si="394"/>
        <v>2020/21</v>
      </c>
      <c r="D2191" t="str">
        <f t="shared" ref="D2191:D2212" si="396">"SS SL 114855"</f>
        <v>SS SL 114855</v>
      </c>
      <c r="E2191" t="str">
        <f t="shared" si="395"/>
        <v>SS</v>
      </c>
      <c r="F2191" t="s">
        <v>25</v>
      </c>
      <c r="G2191" t="s">
        <v>22</v>
      </c>
      <c r="H2191">
        <v>2487.2399999999998</v>
      </c>
      <c r="I2191" t="str">
        <f t="shared" ref="I2191:I2212" si="397">"The Mayfield Trust"</f>
        <v>The Mayfield Trust</v>
      </c>
      <c r="J2191" t="str">
        <f t="shared" ref="J2191:J2212" si="398"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2192" spans="1:10" x14ac:dyDescent="0.35">
      <c r="A2192" t="str">
        <f t="shared" si="390"/>
        <v>JAN</v>
      </c>
      <c r="B2192" t="str">
        <f t="shared" si="391"/>
        <v>21</v>
      </c>
      <c r="C2192" t="str">
        <f t="shared" si="394"/>
        <v>2020/21</v>
      </c>
      <c r="D2192" t="str">
        <f t="shared" si="396"/>
        <v>SS SL 114855</v>
      </c>
      <c r="E2192" t="str">
        <f t="shared" si="395"/>
        <v>SS</v>
      </c>
      <c r="F2192" t="s">
        <v>25</v>
      </c>
      <c r="G2192" t="s">
        <v>22</v>
      </c>
      <c r="H2192">
        <v>726.25</v>
      </c>
      <c r="I2192" t="str">
        <f t="shared" si="397"/>
        <v>The Mayfield Trust</v>
      </c>
      <c r="J2192" t="str">
        <f t="shared" si="398"/>
        <v>Mayfield Mews (Mayfield) Private Contractors Agency And Contracted Services Supported Living Adult Health &amp; Social Care</v>
      </c>
    </row>
    <row r="2193" spans="1:10" x14ac:dyDescent="0.35">
      <c r="A2193" t="str">
        <f t="shared" si="390"/>
        <v>JAN</v>
      </c>
      <c r="B2193" t="str">
        <f t="shared" si="391"/>
        <v>21</v>
      </c>
      <c r="C2193" t="str">
        <f t="shared" si="394"/>
        <v>2020/21</v>
      </c>
      <c r="D2193" t="str">
        <f t="shared" si="396"/>
        <v>SS SL 114855</v>
      </c>
      <c r="E2193" t="str">
        <f t="shared" si="395"/>
        <v>SS</v>
      </c>
      <c r="F2193" t="s">
        <v>25</v>
      </c>
      <c r="G2193" t="s">
        <v>22</v>
      </c>
      <c r="H2193">
        <v>651.58000000000004</v>
      </c>
      <c r="I2193" t="str">
        <f t="shared" si="397"/>
        <v>The Mayfield Trust</v>
      </c>
      <c r="J2193" t="str">
        <f t="shared" si="398"/>
        <v>Mayfield Mews (Mayfield) Private Contractors Agency And Contracted Services Supported Living Adult Health &amp; Social Care</v>
      </c>
    </row>
    <row r="2194" spans="1:10" x14ac:dyDescent="0.35">
      <c r="A2194" t="str">
        <f t="shared" si="390"/>
        <v>JAN</v>
      </c>
      <c r="B2194" t="str">
        <f t="shared" si="391"/>
        <v>21</v>
      </c>
      <c r="C2194" t="str">
        <f t="shared" si="394"/>
        <v>2020/21</v>
      </c>
      <c r="D2194" t="str">
        <f t="shared" si="396"/>
        <v>SS SL 114855</v>
      </c>
      <c r="E2194" t="str">
        <f t="shared" si="395"/>
        <v>SS</v>
      </c>
      <c r="F2194" t="s">
        <v>25</v>
      </c>
      <c r="G2194" t="s">
        <v>22</v>
      </c>
      <c r="H2194">
        <v>726.25</v>
      </c>
      <c r="I2194" t="str">
        <f t="shared" si="397"/>
        <v>The Mayfield Trust</v>
      </c>
      <c r="J2194" t="str">
        <f t="shared" si="398"/>
        <v>Mayfield Mews (Mayfield) Private Contractors Agency And Contracted Services Supported Living Adult Health &amp; Social Care</v>
      </c>
    </row>
    <row r="2195" spans="1:10" x14ac:dyDescent="0.35">
      <c r="A2195" t="str">
        <f t="shared" si="390"/>
        <v>JAN</v>
      </c>
      <c r="B2195" t="str">
        <f t="shared" si="391"/>
        <v>21</v>
      </c>
      <c r="C2195" t="str">
        <f t="shared" si="394"/>
        <v>2020/21</v>
      </c>
      <c r="D2195" t="str">
        <f t="shared" si="396"/>
        <v>SS SL 114855</v>
      </c>
      <c r="E2195" t="str">
        <f t="shared" si="395"/>
        <v>SS</v>
      </c>
      <c r="F2195" t="s">
        <v>25</v>
      </c>
      <c r="G2195" t="s">
        <v>22</v>
      </c>
      <c r="H2195">
        <v>571.20000000000005</v>
      </c>
      <c r="I2195" t="str">
        <f t="shared" si="397"/>
        <v>The Mayfield Trust</v>
      </c>
      <c r="J2195" t="str">
        <f t="shared" si="398"/>
        <v>Mayfield Mews (Mayfield) Private Contractors Agency And Contracted Services Supported Living Adult Health &amp; Social Care</v>
      </c>
    </row>
    <row r="2196" spans="1:10" x14ac:dyDescent="0.35">
      <c r="A2196" t="str">
        <f t="shared" si="390"/>
        <v>JAN</v>
      </c>
      <c r="B2196" t="str">
        <f t="shared" si="391"/>
        <v>21</v>
      </c>
      <c r="C2196" t="str">
        <f t="shared" si="394"/>
        <v>2020/21</v>
      </c>
      <c r="D2196" t="str">
        <f t="shared" si="396"/>
        <v>SS SL 114855</v>
      </c>
      <c r="E2196" t="str">
        <f t="shared" si="395"/>
        <v>SS</v>
      </c>
      <c r="F2196" t="s">
        <v>25</v>
      </c>
      <c r="G2196" t="s">
        <v>22</v>
      </c>
      <c r="H2196">
        <v>3603.25</v>
      </c>
      <c r="I2196" t="str">
        <f t="shared" si="397"/>
        <v>The Mayfield Trust</v>
      </c>
      <c r="J2196" t="str">
        <f t="shared" si="398"/>
        <v>Mayfield Mews (Mayfield) Private Contractors Agency And Contracted Services Supported Living Adult Health &amp; Social Care</v>
      </c>
    </row>
    <row r="2197" spans="1:10" x14ac:dyDescent="0.35">
      <c r="A2197" t="str">
        <f t="shared" si="390"/>
        <v>JAN</v>
      </c>
      <c r="B2197" t="str">
        <f t="shared" si="391"/>
        <v>21</v>
      </c>
      <c r="C2197" t="str">
        <f t="shared" si="394"/>
        <v>2020/21</v>
      </c>
      <c r="D2197" t="str">
        <f t="shared" si="396"/>
        <v>SS SL 114855</v>
      </c>
      <c r="E2197" t="str">
        <f t="shared" si="395"/>
        <v>SS</v>
      </c>
      <c r="F2197" t="s">
        <v>25</v>
      </c>
      <c r="G2197" t="s">
        <v>22</v>
      </c>
      <c r="H2197">
        <v>842.45</v>
      </c>
      <c r="I2197" t="str">
        <f t="shared" si="397"/>
        <v>The Mayfield Trust</v>
      </c>
      <c r="J2197" t="str">
        <f t="shared" si="398"/>
        <v>Mayfield Mews (Mayfield) Private Contractors Agency And Contracted Services Supported Living Adult Health &amp; Social Care</v>
      </c>
    </row>
    <row r="2198" spans="1:10" x14ac:dyDescent="0.35">
      <c r="A2198" t="str">
        <f t="shared" si="390"/>
        <v>JAN</v>
      </c>
      <c r="B2198" t="str">
        <f t="shared" si="391"/>
        <v>21</v>
      </c>
      <c r="C2198" t="str">
        <f t="shared" si="394"/>
        <v>2020/21</v>
      </c>
      <c r="D2198" t="str">
        <f t="shared" si="396"/>
        <v>SS SL 114855</v>
      </c>
      <c r="E2198" t="str">
        <f t="shared" si="395"/>
        <v>SS</v>
      </c>
      <c r="F2198" t="s">
        <v>25</v>
      </c>
      <c r="G2198" t="s">
        <v>22</v>
      </c>
      <c r="H2198">
        <v>2</v>
      </c>
      <c r="I2198" t="str">
        <f t="shared" si="397"/>
        <v>The Mayfield Trust</v>
      </c>
      <c r="J2198" t="str">
        <f t="shared" si="398"/>
        <v>Mayfield Mews (Mayfield) Private Contractors Agency And Contracted Services Supported Living Adult Health &amp; Social Care</v>
      </c>
    </row>
    <row r="2199" spans="1:10" x14ac:dyDescent="0.35">
      <c r="A2199" t="str">
        <f t="shared" si="390"/>
        <v>JAN</v>
      </c>
      <c r="B2199" t="str">
        <f t="shared" si="391"/>
        <v>21</v>
      </c>
      <c r="C2199" t="str">
        <f t="shared" si="394"/>
        <v>2020/21</v>
      </c>
      <c r="D2199" t="str">
        <f t="shared" si="396"/>
        <v>SS SL 114855</v>
      </c>
      <c r="E2199" t="str">
        <f t="shared" si="395"/>
        <v>SS</v>
      </c>
      <c r="F2199" t="s">
        <v>25</v>
      </c>
      <c r="G2199" t="s">
        <v>22</v>
      </c>
      <c r="H2199">
        <v>726.25</v>
      </c>
      <c r="I2199" t="str">
        <f t="shared" si="397"/>
        <v>The Mayfield Trust</v>
      </c>
      <c r="J2199" t="str">
        <f t="shared" si="398"/>
        <v>Mayfield Mews (Mayfield) Private Contractors Agency And Contracted Services Supported Living Adult Health &amp; Social Care</v>
      </c>
    </row>
    <row r="2200" spans="1:10" x14ac:dyDescent="0.35">
      <c r="A2200" t="str">
        <f t="shared" si="390"/>
        <v>JAN</v>
      </c>
      <c r="B2200" t="str">
        <f t="shared" si="391"/>
        <v>21</v>
      </c>
      <c r="C2200" t="str">
        <f t="shared" si="394"/>
        <v>2020/21</v>
      </c>
      <c r="D2200" t="str">
        <f t="shared" si="396"/>
        <v>SS SL 114855</v>
      </c>
      <c r="E2200" t="str">
        <f t="shared" si="395"/>
        <v>SS</v>
      </c>
      <c r="F2200" t="s">
        <v>25</v>
      </c>
      <c r="G2200" t="s">
        <v>22</v>
      </c>
      <c r="H2200">
        <v>726.25</v>
      </c>
      <c r="I2200" t="str">
        <f t="shared" si="397"/>
        <v>The Mayfield Trust</v>
      </c>
      <c r="J2200" t="str">
        <f t="shared" si="398"/>
        <v>Mayfield Mews (Mayfield) Private Contractors Agency And Contracted Services Supported Living Adult Health &amp; Social Care</v>
      </c>
    </row>
    <row r="2201" spans="1:10" x14ac:dyDescent="0.35">
      <c r="A2201" t="str">
        <f t="shared" si="390"/>
        <v>JAN</v>
      </c>
      <c r="B2201" t="str">
        <f t="shared" si="391"/>
        <v>21</v>
      </c>
      <c r="C2201" t="str">
        <f t="shared" si="394"/>
        <v>2020/21</v>
      </c>
      <c r="D2201" t="str">
        <f t="shared" si="396"/>
        <v>SS SL 114855</v>
      </c>
      <c r="E2201" t="str">
        <f t="shared" si="395"/>
        <v>SS</v>
      </c>
      <c r="F2201" t="s">
        <v>25</v>
      </c>
      <c r="G2201" t="s">
        <v>22</v>
      </c>
      <c r="H2201">
        <v>7188.27</v>
      </c>
      <c r="I2201" t="str">
        <f t="shared" si="397"/>
        <v>The Mayfield Trust</v>
      </c>
      <c r="J2201" t="str">
        <f t="shared" si="398"/>
        <v>Mayfield Mews (Mayfield) Private Contractors Agency And Contracted Services Supported Living Adult Health &amp; Social Care</v>
      </c>
    </row>
    <row r="2202" spans="1:10" x14ac:dyDescent="0.35">
      <c r="A2202" t="str">
        <f t="shared" si="390"/>
        <v>JAN</v>
      </c>
      <c r="B2202" t="str">
        <f t="shared" si="391"/>
        <v>21</v>
      </c>
      <c r="C2202" t="str">
        <f t="shared" si="394"/>
        <v>2020/21</v>
      </c>
      <c r="D2202" t="str">
        <f t="shared" si="396"/>
        <v>SS SL 114855</v>
      </c>
      <c r="E2202" t="str">
        <f t="shared" si="395"/>
        <v>SS</v>
      </c>
      <c r="F2202" t="s">
        <v>25</v>
      </c>
      <c r="G2202" t="s">
        <v>22</v>
      </c>
      <c r="H2202">
        <v>2127.6</v>
      </c>
      <c r="I2202" t="str">
        <f t="shared" si="397"/>
        <v>The Mayfield Trust</v>
      </c>
      <c r="J2202" t="str">
        <f t="shared" si="398"/>
        <v>Mayfield Mews (Mayfield) Private Contractors Agency And Contracted Services Supported Living Adult Health &amp; Social Care</v>
      </c>
    </row>
    <row r="2203" spans="1:10" x14ac:dyDescent="0.35">
      <c r="A2203" t="str">
        <f t="shared" si="390"/>
        <v>JAN</v>
      </c>
      <c r="B2203" t="str">
        <f t="shared" si="391"/>
        <v>21</v>
      </c>
      <c r="C2203" t="str">
        <f t="shared" si="394"/>
        <v>2020/21</v>
      </c>
      <c r="D2203" t="str">
        <f t="shared" si="396"/>
        <v>SS SL 114855</v>
      </c>
      <c r="E2203" t="str">
        <f t="shared" si="395"/>
        <v>SS</v>
      </c>
      <c r="F2203" t="s">
        <v>25</v>
      </c>
      <c r="G2203" t="s">
        <v>22</v>
      </c>
      <c r="H2203">
        <v>1418.4</v>
      </c>
      <c r="I2203" t="str">
        <f t="shared" si="397"/>
        <v>The Mayfield Trust</v>
      </c>
      <c r="J2203" t="str">
        <f t="shared" si="398"/>
        <v>Mayfield Mews (Mayfield) Private Contractors Agency And Contracted Services Supported Living Adult Health &amp; Social Care</v>
      </c>
    </row>
    <row r="2204" spans="1:10" x14ac:dyDescent="0.35">
      <c r="A2204" t="str">
        <f t="shared" si="390"/>
        <v>JAN</v>
      </c>
      <c r="B2204" t="str">
        <f t="shared" si="391"/>
        <v>21</v>
      </c>
      <c r="C2204" t="str">
        <f t="shared" si="394"/>
        <v>2020/21</v>
      </c>
      <c r="D2204" t="str">
        <f t="shared" si="396"/>
        <v>SS SL 114855</v>
      </c>
      <c r="E2204" t="str">
        <f t="shared" si="395"/>
        <v>SS</v>
      </c>
      <c r="F2204" t="s">
        <v>25</v>
      </c>
      <c r="G2204" t="s">
        <v>22</v>
      </c>
      <c r="H2204">
        <v>3104.2</v>
      </c>
      <c r="I2204" t="str">
        <f t="shared" si="397"/>
        <v>The Mayfield Trust</v>
      </c>
      <c r="J2204" t="str">
        <f t="shared" si="398"/>
        <v>Mayfield Mews (Mayfield) Private Contractors Agency And Contracted Services Supported Living Adult Health &amp; Social Care</v>
      </c>
    </row>
    <row r="2205" spans="1:10" x14ac:dyDescent="0.35">
      <c r="A2205" t="str">
        <f t="shared" si="390"/>
        <v>JAN</v>
      </c>
      <c r="B2205" t="str">
        <f t="shared" si="391"/>
        <v>21</v>
      </c>
      <c r="C2205" t="str">
        <f t="shared" si="394"/>
        <v>2020/21</v>
      </c>
      <c r="D2205" t="str">
        <f t="shared" si="396"/>
        <v>SS SL 114855</v>
      </c>
      <c r="E2205" t="str">
        <f t="shared" si="395"/>
        <v>SS</v>
      </c>
      <c r="F2205" t="s">
        <v>25</v>
      </c>
      <c r="G2205" t="s">
        <v>22</v>
      </c>
      <c r="H2205">
        <v>2284.8000000000002</v>
      </c>
      <c r="I2205" t="str">
        <f t="shared" si="397"/>
        <v>The Mayfield Trust</v>
      </c>
      <c r="J2205" t="str">
        <f t="shared" si="398"/>
        <v>Mayfield Mews (Mayfield) Private Contractors Agency And Contracted Services Supported Living Adult Health &amp; Social Care</v>
      </c>
    </row>
    <row r="2206" spans="1:10" x14ac:dyDescent="0.35">
      <c r="A2206" t="str">
        <f t="shared" si="390"/>
        <v>JAN</v>
      </c>
      <c r="B2206" t="str">
        <f t="shared" si="391"/>
        <v>21</v>
      </c>
      <c r="C2206" t="str">
        <f t="shared" si="394"/>
        <v>2020/21</v>
      </c>
      <c r="D2206" t="str">
        <f t="shared" si="396"/>
        <v>SS SL 114855</v>
      </c>
      <c r="E2206" t="str">
        <f t="shared" si="395"/>
        <v>SS</v>
      </c>
      <c r="F2206" t="s">
        <v>25</v>
      </c>
      <c r="G2206" t="s">
        <v>22</v>
      </c>
      <c r="H2206">
        <v>2606.31</v>
      </c>
      <c r="I2206" t="str">
        <f t="shared" si="397"/>
        <v>The Mayfield Trust</v>
      </c>
      <c r="J2206" t="str">
        <f t="shared" si="398"/>
        <v>Mayfield Mews (Mayfield) Private Contractors Agency And Contracted Services Supported Living Adult Health &amp; Social Care</v>
      </c>
    </row>
    <row r="2207" spans="1:10" x14ac:dyDescent="0.35">
      <c r="A2207" t="str">
        <f t="shared" si="390"/>
        <v>JAN</v>
      </c>
      <c r="B2207" t="str">
        <f t="shared" si="391"/>
        <v>21</v>
      </c>
      <c r="C2207" t="str">
        <f t="shared" si="394"/>
        <v>2020/21</v>
      </c>
      <c r="D2207" t="str">
        <f t="shared" si="396"/>
        <v>SS SL 114855</v>
      </c>
      <c r="E2207" t="str">
        <f t="shared" si="395"/>
        <v>SS</v>
      </c>
      <c r="F2207" t="s">
        <v>25</v>
      </c>
      <c r="G2207" t="s">
        <v>22</v>
      </c>
      <c r="H2207">
        <v>4648</v>
      </c>
      <c r="I2207" t="str">
        <f t="shared" si="397"/>
        <v>The Mayfield Trust</v>
      </c>
      <c r="J2207" t="str">
        <f t="shared" si="398"/>
        <v>Mayfield Mews (Mayfield) Private Contractors Agency And Contracted Services Supported Living Adult Health &amp; Social Care</v>
      </c>
    </row>
    <row r="2208" spans="1:10" x14ac:dyDescent="0.35">
      <c r="A2208" t="str">
        <f t="shared" si="390"/>
        <v>JAN</v>
      </c>
      <c r="B2208" t="str">
        <f t="shared" si="391"/>
        <v>21</v>
      </c>
      <c r="C2208" t="str">
        <f t="shared" si="394"/>
        <v>2020/21</v>
      </c>
      <c r="D2208" t="str">
        <f t="shared" si="396"/>
        <v>SS SL 114855</v>
      </c>
      <c r="E2208" t="str">
        <f t="shared" si="395"/>
        <v>SS</v>
      </c>
      <c r="F2208" t="s">
        <v>25</v>
      </c>
      <c r="G2208" t="s">
        <v>22</v>
      </c>
      <c r="H2208">
        <v>2606.31</v>
      </c>
      <c r="I2208" t="str">
        <f t="shared" si="397"/>
        <v>The Mayfield Trust</v>
      </c>
      <c r="J2208" t="str">
        <f t="shared" si="398"/>
        <v>Mayfield Mews (Mayfield) Private Contractors Agency And Contracted Services Supported Living Adult Health &amp; Social Care</v>
      </c>
    </row>
    <row r="2209" spans="1:10" x14ac:dyDescent="0.35">
      <c r="A2209" t="str">
        <f t="shared" si="390"/>
        <v>JAN</v>
      </c>
      <c r="B2209" t="str">
        <f t="shared" si="391"/>
        <v>21</v>
      </c>
      <c r="C2209" t="str">
        <f t="shared" si="394"/>
        <v>2020/21</v>
      </c>
      <c r="D2209" t="str">
        <f t="shared" si="396"/>
        <v>SS SL 114855</v>
      </c>
      <c r="E2209" t="str">
        <f t="shared" si="395"/>
        <v>SS</v>
      </c>
      <c r="F2209" t="s">
        <v>25</v>
      </c>
      <c r="G2209" t="s">
        <v>22</v>
      </c>
      <c r="H2209">
        <v>2905</v>
      </c>
      <c r="I2209" t="str">
        <f t="shared" si="397"/>
        <v>The Mayfield Trust</v>
      </c>
      <c r="J2209" t="str">
        <f t="shared" si="398"/>
        <v>Mayfield Mews (Mayfield) Private Contractors Agency And Contracted Services Supported Living Adult Health &amp; Social Care</v>
      </c>
    </row>
    <row r="2210" spans="1:10" x14ac:dyDescent="0.35">
      <c r="A2210" t="str">
        <f t="shared" si="390"/>
        <v>JAN</v>
      </c>
      <c r="B2210" t="str">
        <f t="shared" si="391"/>
        <v>21</v>
      </c>
      <c r="C2210" t="str">
        <f t="shared" si="394"/>
        <v>2020/21</v>
      </c>
      <c r="D2210" t="str">
        <f t="shared" si="396"/>
        <v>SS SL 114855</v>
      </c>
      <c r="E2210" t="str">
        <f t="shared" si="395"/>
        <v>SS</v>
      </c>
      <c r="F2210" t="s">
        <v>25</v>
      </c>
      <c r="G2210" t="s">
        <v>22</v>
      </c>
      <c r="H2210">
        <v>3369.8</v>
      </c>
      <c r="I2210" t="str">
        <f t="shared" si="397"/>
        <v>The Mayfield Trust</v>
      </c>
      <c r="J2210" t="str">
        <f t="shared" si="398"/>
        <v>Mayfield Mews (Mayfield) Private Contractors Agency And Contracted Services Supported Living Adult Health &amp; Social Care</v>
      </c>
    </row>
    <row r="2211" spans="1:10" x14ac:dyDescent="0.35">
      <c r="A2211" t="str">
        <f t="shared" si="390"/>
        <v>JAN</v>
      </c>
      <c r="B2211" t="str">
        <f t="shared" si="391"/>
        <v>21</v>
      </c>
      <c r="C2211" t="str">
        <f t="shared" si="394"/>
        <v>2020/21</v>
      </c>
      <c r="D2211" t="str">
        <f t="shared" si="396"/>
        <v>SS SL 114855</v>
      </c>
      <c r="E2211" t="str">
        <f t="shared" si="395"/>
        <v>SS</v>
      </c>
      <c r="F2211" t="s">
        <v>25</v>
      </c>
      <c r="G2211" t="s">
        <v>22</v>
      </c>
      <c r="H2211">
        <v>2905</v>
      </c>
      <c r="I2211" t="str">
        <f t="shared" si="397"/>
        <v>The Mayfield Trust</v>
      </c>
      <c r="J2211" t="str">
        <f t="shared" si="398"/>
        <v>Mayfield Mews (Mayfield) Private Contractors Agency And Contracted Services Supported Living Adult Health &amp; Social Care</v>
      </c>
    </row>
    <row r="2212" spans="1:10" x14ac:dyDescent="0.35">
      <c r="A2212" t="str">
        <f t="shared" si="390"/>
        <v>JAN</v>
      </c>
      <c r="B2212" t="str">
        <f t="shared" si="391"/>
        <v>21</v>
      </c>
      <c r="C2212" t="str">
        <f t="shared" si="394"/>
        <v>2020/21</v>
      </c>
      <c r="D2212" t="str">
        <f t="shared" si="396"/>
        <v>SS SL 114855</v>
      </c>
      <c r="E2212" t="str">
        <f t="shared" si="395"/>
        <v>SS</v>
      </c>
      <c r="F2212" t="s">
        <v>25</v>
      </c>
      <c r="G2212" t="s">
        <v>22</v>
      </c>
      <c r="H2212">
        <v>2905</v>
      </c>
      <c r="I2212" t="str">
        <f t="shared" si="397"/>
        <v>The Mayfield Trust</v>
      </c>
      <c r="J2212" t="str">
        <f t="shared" si="398"/>
        <v>Mayfield Mews (Mayfield) Private Contractors Agency And Contracted Services Supported Living Adult Health &amp; Social Care</v>
      </c>
    </row>
    <row r="2213" spans="1:10" x14ac:dyDescent="0.35">
      <c r="A2213" t="str">
        <f t="shared" si="390"/>
        <v>JAN</v>
      </c>
      <c r="B2213" t="str">
        <f t="shared" si="391"/>
        <v>21</v>
      </c>
      <c r="C2213" t="str">
        <f t="shared" si="394"/>
        <v>2020/21</v>
      </c>
      <c r="D2213" t="str">
        <f>"SS SL 116543"</f>
        <v>SS SL 116543</v>
      </c>
      <c r="E2213" t="str">
        <f t="shared" si="395"/>
        <v>SS</v>
      </c>
      <c r="F2213" t="s">
        <v>25</v>
      </c>
      <c r="G2213" t="s">
        <v>22</v>
      </c>
      <c r="H2213">
        <v>11427</v>
      </c>
      <c r="I2213" t="str">
        <f>"Possabilities CIC"</f>
        <v>Possabilities CIC</v>
      </c>
      <c r="J2213" t="str">
        <f>"Yew Tree (Northowram( Private Contractors Agency And Contracted Services Supported Living Adult Health &amp; Social Care"</f>
        <v>Yew Tree (Northowram( Private Contractors Agency And Contracted Services Supported Living Adult Health &amp; Social Care</v>
      </c>
    </row>
    <row r="2214" spans="1:10" x14ac:dyDescent="0.35">
      <c r="A2214" t="str">
        <f t="shared" si="390"/>
        <v>JAN</v>
      </c>
      <c r="B2214" t="str">
        <f t="shared" si="391"/>
        <v>21</v>
      </c>
      <c r="C2214" t="str">
        <f t="shared" si="394"/>
        <v>2020/21</v>
      </c>
      <c r="D2214" t="str">
        <f>"SS SL 116543"</f>
        <v>SS SL 116543</v>
      </c>
      <c r="E2214" t="str">
        <f t="shared" si="395"/>
        <v>SS</v>
      </c>
      <c r="F2214" t="s">
        <v>25</v>
      </c>
      <c r="G2214" t="s">
        <v>22</v>
      </c>
      <c r="H2214">
        <v>1134.72</v>
      </c>
      <c r="I2214" t="str">
        <f>"Possabilities CIC"</f>
        <v>Possabilities CIC</v>
      </c>
      <c r="J2214" t="str">
        <f>"Yew Tree (Northowram( Private Contractors Agency And Contracted Services Supported Living Adult Health &amp; Social Care"</f>
        <v>Yew Tree (Northowram( Private Contractors Agency And Contracted Services Supported Living Adult Health &amp; Social Care</v>
      </c>
    </row>
    <row r="2215" spans="1:10" x14ac:dyDescent="0.35">
      <c r="A2215" t="str">
        <f t="shared" si="390"/>
        <v>JAN</v>
      </c>
      <c r="B2215" t="str">
        <f t="shared" si="391"/>
        <v>21</v>
      </c>
      <c r="C2215" t="str">
        <f t="shared" si="394"/>
        <v>2020/21</v>
      </c>
      <c r="D2215" t="str">
        <f>"SS SL 116543"</f>
        <v>SS SL 116543</v>
      </c>
      <c r="E2215" t="str">
        <f t="shared" si="395"/>
        <v>SS</v>
      </c>
      <c r="F2215" t="s">
        <v>25</v>
      </c>
      <c r="G2215" t="s">
        <v>22</v>
      </c>
      <c r="H2215">
        <v>4538.88</v>
      </c>
      <c r="I2215" t="str">
        <f>"Possabilities CIC"</f>
        <v>Possabilities CIC</v>
      </c>
      <c r="J2215" t="str">
        <f>"Yew Tree (Northowram( Private Contractors Agency And Contracted Services Supported Living Adult Health &amp; Social Care"</f>
        <v>Yew Tree (Northowram( Private Contractors Agency And Contracted Services Supported Living Adult Health &amp; Social Care</v>
      </c>
    </row>
    <row r="2216" spans="1:10" x14ac:dyDescent="0.35">
      <c r="A2216" t="str">
        <f t="shared" si="390"/>
        <v>JAN</v>
      </c>
      <c r="B2216" t="str">
        <f t="shared" si="391"/>
        <v>21</v>
      </c>
      <c r="C2216" t="str">
        <f t="shared" si="394"/>
        <v>2020/21</v>
      </c>
      <c r="D2216" t="str">
        <f>"SS SL 116543"</f>
        <v>SS SL 116543</v>
      </c>
      <c r="E2216" t="str">
        <f t="shared" si="395"/>
        <v>SS</v>
      </c>
      <c r="F2216" t="s">
        <v>25</v>
      </c>
      <c r="G2216" t="s">
        <v>22</v>
      </c>
      <c r="H2216">
        <v>9184.16</v>
      </c>
      <c r="I2216" t="str">
        <f>"Possabilities CIC"</f>
        <v>Possabilities CIC</v>
      </c>
      <c r="J2216" t="str">
        <f>"Yew Tree (Northowram( Private Contractors Agency And Contracted Services Supported Living Adult Health &amp; Social Care"</f>
        <v>Yew Tree (Northowram( Private Contractors Agency And Contracted Services Supported Living Adult Health &amp; Social Care</v>
      </c>
    </row>
    <row r="2217" spans="1:10" x14ac:dyDescent="0.35">
      <c r="A2217" t="str">
        <f t="shared" si="390"/>
        <v>JAN</v>
      </c>
      <c r="B2217" t="str">
        <f t="shared" si="391"/>
        <v>21</v>
      </c>
      <c r="C2217" t="str">
        <f t="shared" si="394"/>
        <v>2020/21</v>
      </c>
      <c r="D2217" t="str">
        <f>"SS SL 116849"</f>
        <v>SS SL 116849</v>
      </c>
      <c r="E2217" t="str">
        <f t="shared" si="395"/>
        <v>SS</v>
      </c>
      <c r="F2217" t="s">
        <v>25</v>
      </c>
      <c r="G2217" t="s">
        <v>22</v>
      </c>
      <c r="H2217">
        <v>1008.48</v>
      </c>
      <c r="I2217" t="str">
        <f>"The Mayfield Trust"</f>
        <v>The Mayfield Trust</v>
      </c>
      <c r="J2217" t="str">
        <f>"Infection Control Fund Payment - Round 2 Private Contractors Agency And Contracted Services Supported Living Adult Health &amp; Social Care"</f>
        <v>Infection Control Fund Payment - Round 2 Private Contractors Agency And Contracted Services Supported Living Adult Health &amp; Social Care</v>
      </c>
    </row>
    <row r="2218" spans="1:10" x14ac:dyDescent="0.35">
      <c r="A2218" t="str">
        <f t="shared" si="390"/>
        <v>JAN</v>
      </c>
      <c r="B2218" t="str">
        <f t="shared" si="391"/>
        <v>21</v>
      </c>
      <c r="C2218" t="str">
        <f t="shared" si="394"/>
        <v>2020/21</v>
      </c>
      <c r="D2218" t="str">
        <f>"SS SL 116849"</f>
        <v>SS SL 116849</v>
      </c>
      <c r="E2218" t="str">
        <f t="shared" si="395"/>
        <v>SS</v>
      </c>
      <c r="F2218" t="s">
        <v>25</v>
      </c>
      <c r="G2218" t="s">
        <v>22</v>
      </c>
      <c r="H2218">
        <v>1512.72</v>
      </c>
      <c r="I2218" t="str">
        <f>"The Mayfield Trust"</f>
        <v>The Mayfield Trust</v>
      </c>
      <c r="J2218" t="str">
        <f>"Infection Control Fund Payment - Round 2 Private Contractors Agency And Contracted Services Supported Living Adult Health &amp; Social Care"</f>
        <v>Infection Control Fund Payment - Round 2 Private Contractors Agency And Contracted Services Supported Living Adult Health &amp; Social Care</v>
      </c>
    </row>
    <row r="2219" spans="1:10" x14ac:dyDescent="0.35">
      <c r="A2219" t="str">
        <f t="shared" si="390"/>
        <v>JAN</v>
      </c>
      <c r="B2219" t="str">
        <f t="shared" si="391"/>
        <v>21</v>
      </c>
      <c r="C2219" t="str">
        <f t="shared" si="394"/>
        <v>2020/21</v>
      </c>
      <c r="D2219" t="str">
        <f>"SS SL 116849"</f>
        <v>SS SL 116849</v>
      </c>
      <c r="E2219" t="str">
        <f t="shared" si="395"/>
        <v>SS</v>
      </c>
      <c r="F2219" t="s">
        <v>25</v>
      </c>
      <c r="G2219" t="s">
        <v>22</v>
      </c>
      <c r="H2219">
        <v>840.4</v>
      </c>
      <c r="I2219" t="str">
        <f>"The Mayfield Trust"</f>
        <v>The Mayfield Trust</v>
      </c>
      <c r="J2219" t="str">
        <f>"Infection Control Fund Payment - Round 2 Private Contractors Agency And Contracted Services Supported Living Adult Health &amp; Social Care"</f>
        <v>Infection Control Fund Payment - Round 2 Private Contractors Agency And Contracted Services Supported Living Adult Health &amp; Social Care</v>
      </c>
    </row>
    <row r="2220" spans="1:10" x14ac:dyDescent="0.35">
      <c r="A2220" t="str">
        <f t="shared" si="390"/>
        <v>JAN</v>
      </c>
      <c r="B2220" t="str">
        <f t="shared" si="391"/>
        <v>21</v>
      </c>
      <c r="C2220" t="str">
        <f t="shared" si="394"/>
        <v>2020/21</v>
      </c>
      <c r="D2220" t="str">
        <f>"SS SL 116848"</f>
        <v>SS SL 116848</v>
      </c>
      <c r="E2220" t="str">
        <f t="shared" si="395"/>
        <v>SS</v>
      </c>
      <c r="F2220" t="s">
        <v>25</v>
      </c>
      <c r="G2220" t="s">
        <v>22</v>
      </c>
      <c r="H2220">
        <v>8404</v>
      </c>
      <c r="I2220" t="str">
        <f>"Creative Support Ltd"</f>
        <v>Creative Support Ltd</v>
      </c>
      <c r="J2220" t="str">
        <f>"Infection Control Fund Payment - Round 2 Private Contractors Agency And Contracted Services Supported Living Adult Health &amp; Social Care"</f>
        <v>Infection Control Fund Payment - Round 2 Private Contractors Agency And Contracted Services Supported Living Adult Health &amp; Social Care</v>
      </c>
    </row>
    <row r="2221" spans="1:10" x14ac:dyDescent="0.35">
      <c r="A2221" t="str">
        <f t="shared" si="390"/>
        <v>JAN</v>
      </c>
      <c r="B2221" t="str">
        <f t="shared" si="391"/>
        <v>21</v>
      </c>
      <c r="C2221" t="str">
        <f t="shared" si="394"/>
        <v>2020/21</v>
      </c>
      <c r="D2221" t="str">
        <f>"SS CO 114195"</f>
        <v>SS CO 114195</v>
      </c>
      <c r="E2221" t="str">
        <f t="shared" si="395"/>
        <v>SS</v>
      </c>
      <c r="F2221" t="s">
        <v>25</v>
      </c>
      <c r="G2221" t="s">
        <v>22</v>
      </c>
      <c r="H2221">
        <v>2458.33</v>
      </c>
      <c r="I2221" t="str">
        <f>"Our Place"</f>
        <v>Our Place</v>
      </c>
      <c r="J2221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2222" spans="1:10" x14ac:dyDescent="0.35">
      <c r="A2222" t="str">
        <f t="shared" si="390"/>
        <v>JAN</v>
      </c>
      <c r="B2222" t="str">
        <f t="shared" si="391"/>
        <v>21</v>
      </c>
      <c r="C2222" t="str">
        <f t="shared" si="394"/>
        <v>2020/21</v>
      </c>
      <c r="D2222" t="str">
        <f>"SS AD 116778"</f>
        <v>SS AD 116778</v>
      </c>
      <c r="E2222" t="str">
        <f t="shared" si="395"/>
        <v>SS</v>
      </c>
      <c r="F2222" t="s">
        <v>25</v>
      </c>
      <c r="G2222" t="s">
        <v>22</v>
      </c>
      <c r="H2222">
        <v>14591</v>
      </c>
      <c r="I2222" t="str">
        <f>"Anchor Trust"</f>
        <v>Anchor Trust</v>
      </c>
      <c r="J2222" t="str">
        <f>"DoH COVID-19 Infection Control Grant - Round 2 Private Contractors Agency And Contracted Services Residential &amp; Nursing Placements (Older People"</f>
        <v>DoH COVID-19 Infection Control Grant - Round 2 Private Contractors Agency And Contracted Services Residential &amp; Nursing Placements (Older People</v>
      </c>
    </row>
    <row r="2223" spans="1:10" x14ac:dyDescent="0.35">
      <c r="A2223" t="str">
        <f t="shared" si="390"/>
        <v>JAN</v>
      </c>
      <c r="B2223" t="str">
        <f t="shared" si="391"/>
        <v>21</v>
      </c>
      <c r="C2223" t="str">
        <f t="shared" si="394"/>
        <v>2020/21</v>
      </c>
      <c r="D2223" t="str">
        <f>"SS AD 116780"</f>
        <v>SS AD 116780</v>
      </c>
      <c r="E2223" t="str">
        <f t="shared" si="395"/>
        <v>SS</v>
      </c>
      <c r="F2223" t="s">
        <v>25</v>
      </c>
      <c r="G2223" t="s">
        <v>22</v>
      </c>
      <c r="H2223">
        <v>16580.689999999999</v>
      </c>
      <c r="I2223" t="str">
        <f>"Anchor Trust"</f>
        <v>Anchor Trust</v>
      </c>
      <c r="J2223" t="str">
        <f>"DoH COVID-19 Infection Control Grant - Round 2 Private Contractors Agency And Contracted Services Residential &amp; Nursing Placements (Older People"</f>
        <v>DoH COVID-19 Infection Control Grant - Round 2 Private Contractors Agency And Contracted Services Residential &amp; Nursing Placements (Older People</v>
      </c>
    </row>
    <row r="2224" spans="1:10" x14ac:dyDescent="0.35">
      <c r="A2224" t="str">
        <f t="shared" si="390"/>
        <v>JAN</v>
      </c>
      <c r="B2224" t="str">
        <f t="shared" si="391"/>
        <v>21</v>
      </c>
      <c r="C2224" t="str">
        <f t="shared" si="394"/>
        <v>2020/21</v>
      </c>
      <c r="D2224" t="str">
        <f>"SS AD 116801"</f>
        <v>SS AD 116801</v>
      </c>
      <c r="E2224" t="str">
        <f t="shared" si="395"/>
        <v>SS</v>
      </c>
      <c r="F2224" t="s">
        <v>25</v>
      </c>
      <c r="G2224" t="s">
        <v>22</v>
      </c>
      <c r="H2224">
        <v>3979.38</v>
      </c>
      <c r="I2224" t="str">
        <f>"Overgate Hospice"</f>
        <v>Overgate Hospice</v>
      </c>
      <c r="J2224" t="str">
        <f>"DoH COVID-19 Infection Control Grant - Round 2 Private Contractors Agency And Contracted Services Residential &amp; Nursing Placements (Older People"</f>
        <v>DoH COVID-19 Infection Control Grant - Round 2 Private Contractors Agency And Contracted Services Residential &amp; Nursing Placements (Older People</v>
      </c>
    </row>
    <row r="2225" spans="1:10" x14ac:dyDescent="0.35">
      <c r="A2225" t="str">
        <f t="shared" si="390"/>
        <v>JAN</v>
      </c>
      <c r="B2225" t="str">
        <f t="shared" si="391"/>
        <v>21</v>
      </c>
      <c r="C2225" t="str">
        <f t="shared" si="394"/>
        <v>2020/21</v>
      </c>
      <c r="E2225" t="str">
        <f t="shared" si="395"/>
        <v/>
      </c>
      <c r="F2225" t="s">
        <v>25</v>
      </c>
      <c r="G2225" t="s">
        <v>22</v>
      </c>
      <c r="H2225">
        <v>17806.48</v>
      </c>
      <c r="I2225" t="str">
        <f>"Anchor Trust"</f>
        <v>Anchor Trust</v>
      </c>
      <c r="J2225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226" spans="1:10" x14ac:dyDescent="0.35">
      <c r="A2226" t="str">
        <f t="shared" si="390"/>
        <v>JAN</v>
      </c>
      <c r="B2226" t="str">
        <f t="shared" si="391"/>
        <v>21</v>
      </c>
      <c r="C2226" t="str">
        <f t="shared" si="394"/>
        <v>2020/21</v>
      </c>
      <c r="E2226" t="str">
        <f t="shared" si="395"/>
        <v/>
      </c>
      <c r="F2226" t="s">
        <v>25</v>
      </c>
      <c r="G2226" t="s">
        <v>22</v>
      </c>
      <c r="H2226">
        <v>10397.08</v>
      </c>
      <c r="I2226" t="str">
        <f>"Anchor Trust"</f>
        <v>Anchor Trust</v>
      </c>
      <c r="J2226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227" spans="1:10" x14ac:dyDescent="0.35">
      <c r="A2227" t="str">
        <f t="shared" ref="A2227:A2272" si="399">"JAN"</f>
        <v>JAN</v>
      </c>
      <c r="B2227" t="str">
        <f t="shared" ref="B2227:B2290" si="400">"21"</f>
        <v>21</v>
      </c>
      <c r="C2227" t="str">
        <f t="shared" si="394"/>
        <v>2020/21</v>
      </c>
      <c r="E2227" t="str">
        <f t="shared" si="395"/>
        <v/>
      </c>
      <c r="F2227" t="s">
        <v>25</v>
      </c>
      <c r="G2227" t="s">
        <v>22</v>
      </c>
      <c r="H2227">
        <v>-4964.88</v>
      </c>
      <c r="I2227" t="str">
        <f>"Anchor Trust"</f>
        <v>Anchor Trust</v>
      </c>
      <c r="J2227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228" spans="1:10" x14ac:dyDescent="0.35">
      <c r="A2228" t="str">
        <f t="shared" si="399"/>
        <v>JAN</v>
      </c>
      <c r="B2228" t="str">
        <f t="shared" si="400"/>
        <v>21</v>
      </c>
      <c r="C2228" t="str">
        <f t="shared" si="394"/>
        <v>2020/21</v>
      </c>
      <c r="E2228" t="str">
        <f t="shared" si="395"/>
        <v/>
      </c>
      <c r="F2228" t="s">
        <v>25</v>
      </c>
      <c r="G2228" t="s">
        <v>22</v>
      </c>
      <c r="H2228">
        <v>-3622.28</v>
      </c>
      <c r="I2228" t="str">
        <f>"Anchor Trust"</f>
        <v>Anchor Trust</v>
      </c>
      <c r="J2228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229" spans="1:10" x14ac:dyDescent="0.35">
      <c r="A2229" t="str">
        <f t="shared" si="399"/>
        <v>JAN</v>
      </c>
      <c r="B2229" t="str">
        <f t="shared" si="400"/>
        <v>21</v>
      </c>
      <c r="C2229" t="str">
        <f t="shared" si="394"/>
        <v>2020/21</v>
      </c>
      <c r="E2229" t="str">
        <f t="shared" si="395"/>
        <v/>
      </c>
      <c r="F2229" t="s">
        <v>25</v>
      </c>
      <c r="G2229" t="s">
        <v>22</v>
      </c>
      <c r="H2229">
        <v>21957.48</v>
      </c>
      <c r="I2229" t="str">
        <f>"The Mayfield Trust"</f>
        <v>The Mayfield Trust</v>
      </c>
      <c r="J2229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2230" spans="1:10" x14ac:dyDescent="0.35">
      <c r="A2230" t="str">
        <f t="shared" si="399"/>
        <v>JAN</v>
      </c>
      <c r="B2230" t="str">
        <f t="shared" si="400"/>
        <v>21</v>
      </c>
      <c r="C2230" t="str">
        <f t="shared" si="394"/>
        <v>2020/21</v>
      </c>
      <c r="E2230" t="str">
        <f t="shared" si="395"/>
        <v/>
      </c>
      <c r="F2230" t="s">
        <v>25</v>
      </c>
      <c r="G2230" t="s">
        <v>22</v>
      </c>
      <c r="H2230">
        <v>2554.12</v>
      </c>
      <c r="I2230" t="str">
        <f>"Bridgewood Trust Ltd"</f>
        <v>Bridgewood Trust Ltd</v>
      </c>
      <c r="J2230" t="str">
        <f t="shared" ref="J2230:J2235" si="401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2231" spans="1:10" x14ac:dyDescent="0.35">
      <c r="A2231" t="str">
        <f t="shared" si="399"/>
        <v>JAN</v>
      </c>
      <c r="B2231" t="str">
        <f t="shared" si="400"/>
        <v>21</v>
      </c>
      <c r="C2231" t="str">
        <f t="shared" si="394"/>
        <v>2020/21</v>
      </c>
      <c r="E2231" t="str">
        <f t="shared" si="395"/>
        <v/>
      </c>
      <c r="F2231" t="s">
        <v>25</v>
      </c>
      <c r="G2231" t="s">
        <v>22</v>
      </c>
      <c r="H2231">
        <v>13424.16</v>
      </c>
      <c r="I2231" t="str">
        <f>"Bridgewood Trust Ltd"</f>
        <v>Bridgewood Trust Ltd</v>
      </c>
      <c r="J2231" t="str">
        <f t="shared" si="401"/>
        <v>Residential Placements (Learning Disabilities)-Voluntary Home Voluntary Associations Agency And Contracted Services Residential &amp; Nursing Placem</v>
      </c>
    </row>
    <row r="2232" spans="1:10" x14ac:dyDescent="0.35">
      <c r="A2232" t="str">
        <f t="shared" si="399"/>
        <v>JAN</v>
      </c>
      <c r="B2232" t="str">
        <f t="shared" si="400"/>
        <v>21</v>
      </c>
      <c r="C2232" t="str">
        <f t="shared" si="394"/>
        <v>2020/21</v>
      </c>
      <c r="E2232" t="str">
        <f t="shared" si="395"/>
        <v/>
      </c>
      <c r="F2232" t="s">
        <v>25</v>
      </c>
      <c r="G2232" t="s">
        <v>22</v>
      </c>
      <c r="H2232">
        <v>1849.96</v>
      </c>
      <c r="I2232" t="str">
        <f>"Bridgewood Trust Ltd"</f>
        <v>Bridgewood Trust Ltd</v>
      </c>
      <c r="J2232" t="str">
        <f t="shared" si="401"/>
        <v>Residential Placements (Learning Disabilities)-Voluntary Home Voluntary Associations Agency And Contracted Services Residential &amp; Nursing Placem</v>
      </c>
    </row>
    <row r="2233" spans="1:10" x14ac:dyDescent="0.35">
      <c r="A2233" t="str">
        <f t="shared" si="399"/>
        <v>JAN</v>
      </c>
      <c r="B2233" t="str">
        <f t="shared" si="400"/>
        <v>21</v>
      </c>
      <c r="C2233" t="str">
        <f t="shared" si="394"/>
        <v>2020/21</v>
      </c>
      <c r="E2233" t="str">
        <f t="shared" si="395"/>
        <v/>
      </c>
      <c r="F2233" t="s">
        <v>25</v>
      </c>
      <c r="G2233" t="s">
        <v>22</v>
      </c>
      <c r="H2233">
        <v>2138.2399999999998</v>
      </c>
      <c r="I2233" t="str">
        <f>"Bridgewood Trust Ltd"</f>
        <v>Bridgewood Trust Ltd</v>
      </c>
      <c r="J2233" t="str">
        <f t="shared" si="401"/>
        <v>Residential Placements (Learning Disabilities)-Voluntary Home Voluntary Associations Agency And Contracted Services Residential &amp; Nursing Placem</v>
      </c>
    </row>
    <row r="2234" spans="1:10" x14ac:dyDescent="0.35">
      <c r="A2234" t="str">
        <f t="shared" si="399"/>
        <v>JAN</v>
      </c>
      <c r="B2234" t="str">
        <f t="shared" si="400"/>
        <v>21</v>
      </c>
      <c r="C2234" t="str">
        <f t="shared" si="394"/>
        <v>2020/21</v>
      </c>
      <c r="E2234" t="str">
        <f t="shared" si="395"/>
        <v/>
      </c>
      <c r="F2234" t="s">
        <v>25</v>
      </c>
      <c r="G2234" t="s">
        <v>22</v>
      </c>
      <c r="H2234">
        <v>27764.48</v>
      </c>
      <c r="I2234" t="str">
        <f>"Bridgewood Trust Ltd"</f>
        <v>Bridgewood Trust Ltd</v>
      </c>
      <c r="J2234" t="str">
        <f t="shared" si="401"/>
        <v>Residential Placements (Learning Disabilities)-Voluntary Home Voluntary Associations Agency And Contracted Services Residential &amp; Nursing Placem</v>
      </c>
    </row>
    <row r="2235" spans="1:10" x14ac:dyDescent="0.35">
      <c r="A2235" t="str">
        <f t="shared" si="399"/>
        <v>JAN</v>
      </c>
      <c r="B2235" t="str">
        <f t="shared" si="400"/>
        <v>21</v>
      </c>
      <c r="C2235" t="str">
        <f t="shared" si="394"/>
        <v>2020/21</v>
      </c>
      <c r="E2235" t="str">
        <f t="shared" si="395"/>
        <v/>
      </c>
      <c r="F2235" t="s">
        <v>25</v>
      </c>
      <c r="G2235" t="s">
        <v>22</v>
      </c>
      <c r="H2235">
        <v>6882.04</v>
      </c>
      <c r="I2235" t="str">
        <f>"The Mayfield Trust"</f>
        <v>The Mayfield Trust</v>
      </c>
      <c r="J2235" t="str">
        <f t="shared" si="401"/>
        <v>Residential Placements (Learning Disabilities)-Voluntary Home Voluntary Associations Agency And Contracted Services Residential &amp; Nursing Placem</v>
      </c>
    </row>
    <row r="2236" spans="1:10" x14ac:dyDescent="0.35">
      <c r="A2236" t="str">
        <f t="shared" si="399"/>
        <v>JAN</v>
      </c>
      <c r="B2236" t="str">
        <f t="shared" si="400"/>
        <v>21</v>
      </c>
      <c r="C2236" t="str">
        <f t="shared" si="394"/>
        <v>2020/21</v>
      </c>
      <c r="D2236" t="str">
        <f>"SS AD 116807"</f>
        <v>SS AD 116807</v>
      </c>
      <c r="E2236" t="str">
        <f t="shared" si="395"/>
        <v>SS</v>
      </c>
      <c r="F2236" t="s">
        <v>25</v>
      </c>
      <c r="G2236" t="s">
        <v>22</v>
      </c>
      <c r="H2236">
        <v>1989.68</v>
      </c>
      <c r="I2236" t="str">
        <f>"Bridgewood Trust Ltd"</f>
        <v>Bridgewood Trust Ltd</v>
      </c>
      <c r="J2236" t="str">
        <f t="shared" ref="J2236:J2241" si="402">"DoH COVID-19 Infection Control Grant - Round 2 Private Contractors Agency And Contracted Services Residential &amp; Nursing Placements (Learning Dis"</f>
        <v>DoH COVID-19 Infection Control Grant - Round 2 Private Contractors Agency And Contracted Services Residential &amp; Nursing Placements (Learning Dis</v>
      </c>
    </row>
    <row r="2237" spans="1:10" x14ac:dyDescent="0.35">
      <c r="A2237" t="str">
        <f t="shared" si="399"/>
        <v>JAN</v>
      </c>
      <c r="B2237" t="str">
        <f t="shared" si="400"/>
        <v>21</v>
      </c>
      <c r="C2237" t="str">
        <f t="shared" si="394"/>
        <v>2020/21</v>
      </c>
      <c r="D2237" t="str">
        <f>"SS AD 116807"</f>
        <v>SS AD 116807</v>
      </c>
      <c r="E2237" t="str">
        <f t="shared" si="395"/>
        <v>SS</v>
      </c>
      <c r="F2237" t="s">
        <v>25</v>
      </c>
      <c r="G2237" t="s">
        <v>22</v>
      </c>
      <c r="H2237">
        <v>1658.08</v>
      </c>
      <c r="I2237" t="str">
        <f>"Bridgewood Trust Ltd"</f>
        <v>Bridgewood Trust Ltd</v>
      </c>
      <c r="J2237" t="str">
        <f t="shared" si="402"/>
        <v>DoH COVID-19 Infection Control Grant - Round 2 Private Contractors Agency And Contracted Services Residential &amp; Nursing Placements (Learning Dis</v>
      </c>
    </row>
    <row r="2238" spans="1:10" x14ac:dyDescent="0.35">
      <c r="A2238" t="str">
        <f t="shared" si="399"/>
        <v>JAN</v>
      </c>
      <c r="B2238" t="str">
        <f t="shared" si="400"/>
        <v>21</v>
      </c>
      <c r="C2238" t="str">
        <f t="shared" si="394"/>
        <v>2020/21</v>
      </c>
      <c r="D2238" t="str">
        <f>"SS AD 116807"</f>
        <v>SS AD 116807</v>
      </c>
      <c r="E2238" t="str">
        <f t="shared" si="395"/>
        <v>SS</v>
      </c>
      <c r="F2238" t="s">
        <v>25</v>
      </c>
      <c r="G2238" t="s">
        <v>22</v>
      </c>
      <c r="H2238">
        <v>3979.36</v>
      </c>
      <c r="I2238" t="str">
        <f>"Bridgewood Trust Ltd"</f>
        <v>Bridgewood Trust Ltd</v>
      </c>
      <c r="J2238" t="str">
        <f t="shared" si="402"/>
        <v>DoH COVID-19 Infection Control Grant - Round 2 Private Contractors Agency And Contracted Services Residential &amp; Nursing Placements (Learning Dis</v>
      </c>
    </row>
    <row r="2239" spans="1:10" x14ac:dyDescent="0.35">
      <c r="A2239" t="str">
        <f t="shared" si="399"/>
        <v>JAN</v>
      </c>
      <c r="B2239" t="str">
        <f t="shared" si="400"/>
        <v>21</v>
      </c>
      <c r="C2239" t="str">
        <f t="shared" si="394"/>
        <v>2020/21</v>
      </c>
      <c r="D2239" t="str">
        <f>"SS AD 116808"</f>
        <v>SS AD 116808</v>
      </c>
      <c r="E2239" t="str">
        <f t="shared" si="395"/>
        <v>SS</v>
      </c>
      <c r="F2239" t="s">
        <v>25</v>
      </c>
      <c r="G2239" t="s">
        <v>22</v>
      </c>
      <c r="H2239">
        <v>3316.14</v>
      </c>
      <c r="I2239" t="str">
        <f>"The Mayfield Trust"</f>
        <v>The Mayfield Trust</v>
      </c>
      <c r="J2239" t="str">
        <f t="shared" si="402"/>
        <v>DoH COVID-19 Infection Control Grant - Round 2 Private Contractors Agency And Contracted Services Residential &amp; Nursing Placements (Learning Dis</v>
      </c>
    </row>
    <row r="2240" spans="1:10" x14ac:dyDescent="0.35">
      <c r="A2240" t="str">
        <f t="shared" si="399"/>
        <v>JAN</v>
      </c>
      <c r="B2240" t="str">
        <f t="shared" si="400"/>
        <v>21</v>
      </c>
      <c r="C2240" t="str">
        <f t="shared" si="394"/>
        <v>2020/21</v>
      </c>
      <c r="D2240" t="str">
        <f>"SS AD 116809"</f>
        <v>SS AD 116809</v>
      </c>
      <c r="E2240" t="str">
        <f t="shared" si="395"/>
        <v>SS</v>
      </c>
      <c r="F2240" t="s">
        <v>25</v>
      </c>
      <c r="G2240" t="s">
        <v>22</v>
      </c>
      <c r="H2240">
        <v>994.84</v>
      </c>
      <c r="I2240" t="str">
        <f>"The Next Step Trust"</f>
        <v>The Next Step Trust</v>
      </c>
      <c r="J2240" t="str">
        <f t="shared" si="402"/>
        <v>DoH COVID-19 Infection Control Grant - Round 2 Private Contractors Agency And Contracted Services Residential &amp; Nursing Placements (Learning Dis</v>
      </c>
    </row>
    <row r="2241" spans="1:10" x14ac:dyDescent="0.35">
      <c r="A2241" t="str">
        <f t="shared" si="399"/>
        <v>JAN</v>
      </c>
      <c r="B2241" t="str">
        <f t="shared" si="400"/>
        <v>21</v>
      </c>
      <c r="C2241" t="str">
        <f t="shared" si="394"/>
        <v>2020/21</v>
      </c>
      <c r="D2241" t="str">
        <f>"SS HC 116860"</f>
        <v>SS HC 116860</v>
      </c>
      <c r="E2241" t="str">
        <f t="shared" si="395"/>
        <v>SS</v>
      </c>
      <c r="F2241" t="s">
        <v>25</v>
      </c>
      <c r="G2241" t="s">
        <v>22</v>
      </c>
      <c r="H2241">
        <v>336.16</v>
      </c>
      <c r="I2241" t="str">
        <f>"The Next Step Trust"</f>
        <v>The Next Step Trust</v>
      </c>
      <c r="J2241" t="str">
        <f t="shared" si="402"/>
        <v>DoH COVID-19 Infection Control Grant - Round 2 Private Contractors Agency And Contracted Services Residential &amp; Nursing Placements (Learning Dis</v>
      </c>
    </row>
    <row r="2242" spans="1:10" x14ac:dyDescent="0.35">
      <c r="A2242" t="str">
        <f t="shared" si="399"/>
        <v>JAN</v>
      </c>
      <c r="B2242" t="str">
        <f t="shared" si="400"/>
        <v>21</v>
      </c>
      <c r="C2242" t="str">
        <f t="shared" ref="C2242:C2305" si="403">"2020/21"</f>
        <v>2020/21</v>
      </c>
      <c r="E2242" t="str">
        <f t="shared" ref="E2242:E2305" si="404">LEFT(D2242,2)</f>
        <v/>
      </c>
      <c r="F2242" t="s">
        <v>25</v>
      </c>
      <c r="G2242" t="s">
        <v>22</v>
      </c>
      <c r="H2242">
        <v>7243.28</v>
      </c>
      <c r="I2242" t="str">
        <f>"Henshaws Society For Blind People re Red Admiral"</f>
        <v>Henshaws Society For Blind People re Red Admiral</v>
      </c>
      <c r="J2242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2243" spans="1:10" x14ac:dyDescent="0.35">
      <c r="A2243" t="str">
        <f t="shared" si="399"/>
        <v>JAN</v>
      </c>
      <c r="B2243" t="str">
        <f t="shared" si="400"/>
        <v>21</v>
      </c>
      <c r="C2243" t="str">
        <f t="shared" si="403"/>
        <v>2020/21</v>
      </c>
      <c r="E2243" t="str">
        <f t="shared" si="404"/>
        <v/>
      </c>
      <c r="F2243" t="s">
        <v>25</v>
      </c>
      <c r="G2243" t="s">
        <v>22</v>
      </c>
      <c r="H2243">
        <v>-1269</v>
      </c>
      <c r="I2243" t="str">
        <f>"The Mayfield Trust"</f>
        <v>The Mayfield Trust</v>
      </c>
      <c r="J2243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2244" spans="1:10" x14ac:dyDescent="0.35">
      <c r="A2244" t="str">
        <f t="shared" si="399"/>
        <v>JAN</v>
      </c>
      <c r="B2244" t="str">
        <f t="shared" si="400"/>
        <v>21</v>
      </c>
      <c r="C2244" t="str">
        <f t="shared" si="403"/>
        <v>2020/21</v>
      </c>
      <c r="E2244" t="str">
        <f t="shared" si="404"/>
        <v/>
      </c>
      <c r="F2244" t="s">
        <v>25</v>
      </c>
      <c r="G2244" t="s">
        <v>22</v>
      </c>
      <c r="H2244">
        <v>-423</v>
      </c>
      <c r="I2244" t="str">
        <f>"Bridgewood Trust Ltd"</f>
        <v>Bridgewood Trust Ltd</v>
      </c>
      <c r="J2244" t="str">
        <f t="shared" ref="J2244:J2250" si="405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2245" spans="1:10" x14ac:dyDescent="0.35">
      <c r="A2245" t="str">
        <f t="shared" si="399"/>
        <v>JAN</v>
      </c>
      <c r="B2245" t="str">
        <f t="shared" si="400"/>
        <v>21</v>
      </c>
      <c r="C2245" t="str">
        <f t="shared" si="403"/>
        <v>2020/21</v>
      </c>
      <c r="E2245" t="str">
        <f t="shared" si="404"/>
        <v/>
      </c>
      <c r="F2245" t="s">
        <v>25</v>
      </c>
      <c r="G2245" t="s">
        <v>22</v>
      </c>
      <c r="H2245">
        <v>-1692</v>
      </c>
      <c r="I2245" t="str">
        <f>"Bridgewood Trust Ltd"</f>
        <v>Bridgewood Trust Ltd</v>
      </c>
      <c r="J2245" t="str">
        <f t="shared" si="405"/>
        <v>Residential - Income Residential Placements Customer And Client Receipts Income Residential &amp; Nursing Placements (Learning Dis) Adult Health &amp; S</v>
      </c>
    </row>
    <row r="2246" spans="1:10" x14ac:dyDescent="0.35">
      <c r="A2246" t="str">
        <f t="shared" si="399"/>
        <v>JAN</v>
      </c>
      <c r="B2246" t="str">
        <f t="shared" si="400"/>
        <v>21</v>
      </c>
      <c r="C2246" t="str">
        <f t="shared" si="403"/>
        <v>2020/21</v>
      </c>
      <c r="E2246" t="str">
        <f t="shared" si="404"/>
        <v/>
      </c>
      <c r="F2246" t="s">
        <v>25</v>
      </c>
      <c r="G2246" t="s">
        <v>22</v>
      </c>
      <c r="H2246">
        <v>-595.4</v>
      </c>
      <c r="I2246" t="str">
        <f>"Bridgewood Trust Ltd"</f>
        <v>Bridgewood Trust Ltd</v>
      </c>
      <c r="J2246" t="str">
        <f t="shared" si="405"/>
        <v>Residential - Income Residential Placements Customer And Client Receipts Income Residential &amp; Nursing Placements (Learning Dis) Adult Health &amp; S</v>
      </c>
    </row>
    <row r="2247" spans="1:10" x14ac:dyDescent="0.35">
      <c r="A2247" t="str">
        <f t="shared" si="399"/>
        <v>JAN</v>
      </c>
      <c r="B2247" t="str">
        <f t="shared" si="400"/>
        <v>21</v>
      </c>
      <c r="C2247" t="str">
        <f t="shared" si="403"/>
        <v>2020/21</v>
      </c>
      <c r="E2247" t="str">
        <f t="shared" si="404"/>
        <v/>
      </c>
      <c r="F2247" t="s">
        <v>25</v>
      </c>
      <c r="G2247" t="s">
        <v>22</v>
      </c>
      <c r="H2247">
        <v>-423</v>
      </c>
      <c r="I2247" t="str">
        <f>"Bridgewood Trust Ltd"</f>
        <v>Bridgewood Trust Ltd</v>
      </c>
      <c r="J2247" t="str">
        <f t="shared" si="405"/>
        <v>Residential - Income Residential Placements Customer And Client Receipts Income Residential &amp; Nursing Placements (Learning Dis) Adult Health &amp; S</v>
      </c>
    </row>
    <row r="2248" spans="1:10" x14ac:dyDescent="0.35">
      <c r="A2248" t="str">
        <f t="shared" si="399"/>
        <v>JAN</v>
      </c>
      <c r="B2248" t="str">
        <f t="shared" si="400"/>
        <v>21</v>
      </c>
      <c r="C2248" t="str">
        <f t="shared" si="403"/>
        <v>2020/21</v>
      </c>
      <c r="E2248" t="str">
        <f t="shared" si="404"/>
        <v/>
      </c>
      <c r="F2248" t="s">
        <v>25</v>
      </c>
      <c r="G2248" t="s">
        <v>22</v>
      </c>
      <c r="H2248">
        <v>-4483.72</v>
      </c>
      <c r="I2248" t="str">
        <f>"Bridgewood Trust Ltd"</f>
        <v>Bridgewood Trust Ltd</v>
      </c>
      <c r="J2248" t="str">
        <f t="shared" si="405"/>
        <v>Residential - Income Residential Placements Customer And Client Receipts Income Residential &amp; Nursing Placements (Learning Dis) Adult Health &amp; S</v>
      </c>
    </row>
    <row r="2249" spans="1:10" x14ac:dyDescent="0.35">
      <c r="A2249" t="str">
        <f t="shared" si="399"/>
        <v>JAN</v>
      </c>
      <c r="B2249" t="str">
        <f t="shared" si="400"/>
        <v>21</v>
      </c>
      <c r="C2249" t="str">
        <f t="shared" si="403"/>
        <v>2020/21</v>
      </c>
      <c r="E2249" t="str">
        <f t="shared" si="404"/>
        <v/>
      </c>
      <c r="F2249" t="s">
        <v>25</v>
      </c>
      <c r="G2249" t="s">
        <v>22</v>
      </c>
      <c r="H2249">
        <v>-459</v>
      </c>
      <c r="I2249" t="str">
        <f>"The Mayfield Trust"</f>
        <v>The Mayfield Trust</v>
      </c>
      <c r="J2249" t="str">
        <f t="shared" si="405"/>
        <v>Residential - Income Residential Placements Customer And Client Receipts Income Residential &amp; Nursing Placements (Learning Dis) Adult Health &amp; S</v>
      </c>
    </row>
    <row r="2250" spans="1:10" x14ac:dyDescent="0.35">
      <c r="A2250" t="str">
        <f t="shared" si="399"/>
        <v>JAN</v>
      </c>
      <c r="B2250" t="str">
        <f t="shared" si="400"/>
        <v>21</v>
      </c>
      <c r="C2250" t="str">
        <f t="shared" si="403"/>
        <v>2020/21</v>
      </c>
      <c r="E2250" t="str">
        <f t="shared" si="404"/>
        <v/>
      </c>
      <c r="F2250" t="s">
        <v>25</v>
      </c>
      <c r="G2250" t="s">
        <v>22</v>
      </c>
      <c r="H2250">
        <v>-423</v>
      </c>
      <c r="I2250" t="str">
        <f>"Henshaws Society For Blind People re Red Admiral"</f>
        <v>Henshaws Society For Blind People re Red Admiral</v>
      </c>
      <c r="J2250" t="str">
        <f t="shared" si="405"/>
        <v>Residential - Income Residential Placements Customer And Client Receipts Income Residential &amp; Nursing Placements (Learning Dis) Adult Health &amp; S</v>
      </c>
    </row>
    <row r="2251" spans="1:10" x14ac:dyDescent="0.35">
      <c r="A2251" t="str">
        <f t="shared" si="399"/>
        <v>JAN</v>
      </c>
      <c r="B2251" t="str">
        <f t="shared" si="400"/>
        <v>21</v>
      </c>
      <c r="C2251" t="str">
        <f t="shared" si="403"/>
        <v>2020/21</v>
      </c>
      <c r="D2251" t="str">
        <f>"SS SL 114855"</f>
        <v>SS SL 114855</v>
      </c>
      <c r="E2251" t="str">
        <f t="shared" si="404"/>
        <v>SS</v>
      </c>
      <c r="F2251" t="s">
        <v>25</v>
      </c>
      <c r="G2251" t="s">
        <v>22</v>
      </c>
      <c r="H2251">
        <v>3200</v>
      </c>
      <c r="I2251" t="str">
        <f>"The Mayfield Trust"</f>
        <v>The Mayfield Trust</v>
      </c>
      <c r="J2251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2252" spans="1:10" x14ac:dyDescent="0.35">
      <c r="A2252" t="str">
        <f t="shared" si="399"/>
        <v>JAN</v>
      </c>
      <c r="B2252" t="str">
        <f t="shared" si="400"/>
        <v>21</v>
      </c>
      <c r="C2252" t="str">
        <f t="shared" si="403"/>
        <v>2020/21</v>
      </c>
      <c r="D2252" t="str">
        <f>"SS SL 114855"</f>
        <v>SS SL 114855</v>
      </c>
      <c r="E2252" t="str">
        <f t="shared" si="404"/>
        <v>SS</v>
      </c>
      <c r="F2252" t="s">
        <v>25</v>
      </c>
      <c r="G2252" t="s">
        <v>22</v>
      </c>
      <c r="H2252">
        <v>3200</v>
      </c>
      <c r="I2252" t="str">
        <f>"The Mayfield Trust"</f>
        <v>The Mayfield Trust</v>
      </c>
      <c r="J2252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2253" spans="1:10" x14ac:dyDescent="0.35">
      <c r="A2253" t="str">
        <f t="shared" si="399"/>
        <v>JAN</v>
      </c>
      <c r="B2253" t="str">
        <f t="shared" si="400"/>
        <v>21</v>
      </c>
      <c r="C2253" t="str">
        <f t="shared" si="403"/>
        <v>2020/21</v>
      </c>
      <c r="D2253" t="str">
        <f>"SS SL 114855"</f>
        <v>SS SL 114855</v>
      </c>
      <c r="E2253" t="str">
        <f t="shared" si="404"/>
        <v>SS</v>
      </c>
      <c r="F2253" t="s">
        <v>25</v>
      </c>
      <c r="G2253" t="s">
        <v>22</v>
      </c>
      <c r="H2253">
        <v>3439.4</v>
      </c>
      <c r="I2253" t="str">
        <f>"The Mayfield Trust"</f>
        <v>The Mayfield Trust</v>
      </c>
      <c r="J2253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2254" spans="1:10" x14ac:dyDescent="0.35">
      <c r="A2254" t="str">
        <f t="shared" si="399"/>
        <v>JAN</v>
      </c>
      <c r="B2254" t="str">
        <f t="shared" si="400"/>
        <v>21</v>
      </c>
      <c r="C2254" t="str">
        <f t="shared" si="403"/>
        <v>2020/21</v>
      </c>
      <c r="D2254" t="str">
        <f>"SS CO 113260"</f>
        <v>SS CO 113260</v>
      </c>
      <c r="E2254" t="str">
        <f t="shared" si="404"/>
        <v>SS</v>
      </c>
      <c r="F2254" t="s">
        <v>25</v>
      </c>
      <c r="G2254" t="s">
        <v>22</v>
      </c>
      <c r="H2254">
        <v>15922.58</v>
      </c>
      <c r="I2254" t="str">
        <f>"Alzheimers Society"</f>
        <v>Alzheimers Society</v>
      </c>
      <c r="J2254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2255" spans="1:10" x14ac:dyDescent="0.35">
      <c r="A2255" t="str">
        <f t="shared" si="399"/>
        <v>JAN</v>
      </c>
      <c r="B2255" t="str">
        <f t="shared" si="400"/>
        <v>21</v>
      </c>
      <c r="C2255" t="str">
        <f t="shared" si="403"/>
        <v>2020/21</v>
      </c>
      <c r="D2255" t="str">
        <f>"SS CO 113260"</f>
        <v>SS CO 113260</v>
      </c>
      <c r="E2255" t="str">
        <f t="shared" si="404"/>
        <v>SS</v>
      </c>
      <c r="F2255" t="s">
        <v>25</v>
      </c>
      <c r="G2255" t="s">
        <v>22</v>
      </c>
      <c r="H2255">
        <v>15922.58</v>
      </c>
      <c r="I2255" t="str">
        <f>"Alzheimers Society"</f>
        <v>Alzheimers Society</v>
      </c>
      <c r="J2255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2256" spans="1:10" x14ac:dyDescent="0.35">
      <c r="A2256" t="str">
        <f t="shared" si="399"/>
        <v>JAN</v>
      </c>
      <c r="B2256" t="str">
        <f t="shared" si="400"/>
        <v>21</v>
      </c>
      <c r="C2256" t="str">
        <f t="shared" si="403"/>
        <v>2020/21</v>
      </c>
      <c r="D2256" t="str">
        <f>"SS CO 113850"</f>
        <v>SS CO 113850</v>
      </c>
      <c r="E2256" t="str">
        <f t="shared" si="404"/>
        <v>SS</v>
      </c>
      <c r="F2256" t="s">
        <v>25</v>
      </c>
      <c r="G2256" t="s">
        <v>22</v>
      </c>
      <c r="H2256">
        <v>18016.669999999998</v>
      </c>
      <c r="I2256" t="str">
        <f>"Cloverleaf Advocacy 2000 Ltd"</f>
        <v>Cloverleaf Advocacy 2000 Ltd</v>
      </c>
      <c r="J2256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2257" spans="1:10" x14ac:dyDescent="0.35">
      <c r="A2257" t="str">
        <f t="shared" si="399"/>
        <v>JAN</v>
      </c>
      <c r="B2257" t="str">
        <f t="shared" si="400"/>
        <v>21</v>
      </c>
      <c r="C2257" t="str">
        <f t="shared" si="403"/>
        <v>2020/21</v>
      </c>
      <c r="D2257" t="str">
        <f t="shared" ref="D2257:D2264" si="406">"SS CO 113363"</f>
        <v>SS CO 113363</v>
      </c>
      <c r="E2257" t="str">
        <f t="shared" si="404"/>
        <v>SS</v>
      </c>
      <c r="F2257" t="s">
        <v>25</v>
      </c>
      <c r="G2257" t="s">
        <v>22</v>
      </c>
      <c r="H2257">
        <v>12925.85</v>
      </c>
      <c r="I2257" t="str">
        <f t="shared" ref="I2257:I2265" si="407">"Age Uk Calderdale &amp; Kirklees"</f>
        <v>Age Uk Calderdale &amp; Kirklees</v>
      </c>
      <c r="J2257" t="str">
        <f>"Age Concern Core Grant Transfer Payments - School Children And Students Transfer Payments Older People Commissioning Budget Adult Health &amp; Socia"</f>
        <v>Age Concern Core Grant Transfer Payments - School Children And Students Transfer Payments Older People Commissioning Budget Adult Health &amp; Socia</v>
      </c>
    </row>
    <row r="2258" spans="1:10" x14ac:dyDescent="0.35">
      <c r="A2258" t="str">
        <f t="shared" si="399"/>
        <v>JAN</v>
      </c>
      <c r="B2258" t="str">
        <f t="shared" si="400"/>
        <v>21</v>
      </c>
      <c r="C2258" t="str">
        <f t="shared" si="403"/>
        <v>2020/21</v>
      </c>
      <c r="D2258" t="str">
        <f t="shared" si="406"/>
        <v>SS CO 113363</v>
      </c>
      <c r="E2258" t="str">
        <f t="shared" si="404"/>
        <v>SS</v>
      </c>
      <c r="F2258" t="s">
        <v>25</v>
      </c>
      <c r="G2258" t="s">
        <v>22</v>
      </c>
      <c r="H2258">
        <v>12925.85</v>
      </c>
      <c r="I2258" t="str">
        <f t="shared" si="407"/>
        <v>Age Uk Calderdale &amp; Kirklees</v>
      </c>
      <c r="J2258" t="str">
        <f>"Age Concern Core Grant Transfer Payments - School Children And Students Transfer Payments Older People Commissioning Budget Adult Health &amp; Socia"</f>
        <v>Age Concern Core Grant Transfer Payments - School Children And Students Transfer Payments Older People Commissioning Budget Adult Health &amp; Socia</v>
      </c>
    </row>
    <row r="2259" spans="1:10" x14ac:dyDescent="0.35">
      <c r="A2259" t="str">
        <f t="shared" si="399"/>
        <v>JAN</v>
      </c>
      <c r="B2259" t="str">
        <f t="shared" si="400"/>
        <v>21</v>
      </c>
      <c r="C2259" t="str">
        <f t="shared" si="403"/>
        <v>2020/21</v>
      </c>
      <c r="D2259" t="str">
        <f t="shared" si="406"/>
        <v>SS CO 113363</v>
      </c>
      <c r="E2259" t="str">
        <f t="shared" si="404"/>
        <v>SS</v>
      </c>
      <c r="F2259" t="s">
        <v>25</v>
      </c>
      <c r="G2259" t="s">
        <v>22</v>
      </c>
      <c r="H2259">
        <v>3244.85</v>
      </c>
      <c r="I2259" t="str">
        <f t="shared" si="407"/>
        <v>Age Uk Calderdale &amp; Kirklees</v>
      </c>
      <c r="J2259" t="str">
        <f>"Active Befriending Scheme Transfer Payments - School Children And Students Transfer Payments Older People Commissioning Budget Adult Health &amp; So"</f>
        <v>Active Befriending Scheme Transfer Payments - School Children And Students Transfer Payments Older People Commissioning Budget Adult Health &amp; So</v>
      </c>
    </row>
    <row r="2260" spans="1:10" x14ac:dyDescent="0.35">
      <c r="A2260" t="str">
        <f t="shared" si="399"/>
        <v>JAN</v>
      </c>
      <c r="B2260" t="str">
        <f t="shared" si="400"/>
        <v>21</v>
      </c>
      <c r="C2260" t="str">
        <f t="shared" si="403"/>
        <v>2020/21</v>
      </c>
      <c r="D2260" t="str">
        <f t="shared" si="406"/>
        <v>SS CO 113363</v>
      </c>
      <c r="E2260" t="str">
        <f t="shared" si="404"/>
        <v>SS</v>
      </c>
      <c r="F2260" t="s">
        <v>25</v>
      </c>
      <c r="G2260" t="s">
        <v>22</v>
      </c>
      <c r="H2260">
        <v>3244.85</v>
      </c>
      <c r="I2260" t="str">
        <f t="shared" si="407"/>
        <v>Age Uk Calderdale &amp; Kirklees</v>
      </c>
      <c r="J2260" t="str">
        <f>"Active Befriending Scheme Transfer Payments - School Children And Students Transfer Payments Older People Commissioning Budget Adult Health &amp; So"</f>
        <v>Active Befriending Scheme Transfer Payments - School Children And Students Transfer Payments Older People Commissioning Budget Adult Health &amp; So</v>
      </c>
    </row>
    <row r="2261" spans="1:10" x14ac:dyDescent="0.35">
      <c r="A2261" t="str">
        <f t="shared" si="399"/>
        <v>JAN</v>
      </c>
      <c r="B2261" t="str">
        <f t="shared" si="400"/>
        <v>21</v>
      </c>
      <c r="C2261" t="str">
        <f t="shared" si="403"/>
        <v>2020/21</v>
      </c>
      <c r="D2261" t="str">
        <f t="shared" si="406"/>
        <v>SS CO 113363</v>
      </c>
      <c r="E2261" t="str">
        <f t="shared" si="404"/>
        <v>SS</v>
      </c>
      <c r="F2261" t="s">
        <v>25</v>
      </c>
      <c r="G2261" t="s">
        <v>22</v>
      </c>
      <c r="H2261">
        <v>3244.85</v>
      </c>
      <c r="I2261" t="str">
        <f t="shared" si="407"/>
        <v>Age Uk Calderdale &amp; Kirklees</v>
      </c>
      <c r="J2261" t="str">
        <f>"Active Befriending Scheme Transfer Payments - School Children And Students Transfer Payments Older People Commissioning Budget Adult Health &amp; So"</f>
        <v>Active Befriending Scheme Transfer Payments - School Children And Students Transfer Payments Older People Commissioning Budget Adult Health &amp; So</v>
      </c>
    </row>
    <row r="2262" spans="1:10" x14ac:dyDescent="0.35">
      <c r="A2262" t="str">
        <f t="shared" si="399"/>
        <v>JAN</v>
      </c>
      <c r="B2262" t="str">
        <f t="shared" si="400"/>
        <v>21</v>
      </c>
      <c r="C2262" t="str">
        <f t="shared" si="403"/>
        <v>2020/21</v>
      </c>
      <c r="D2262" t="str">
        <f t="shared" si="406"/>
        <v>SS CO 113363</v>
      </c>
      <c r="E2262" t="str">
        <f t="shared" si="404"/>
        <v>SS</v>
      </c>
      <c r="F2262" t="s">
        <v>25</v>
      </c>
      <c r="G2262" t="s">
        <v>22</v>
      </c>
      <c r="H2262">
        <v>3244.85</v>
      </c>
      <c r="I2262" t="str">
        <f t="shared" si="407"/>
        <v>Age Uk Calderdale &amp; Kirklees</v>
      </c>
      <c r="J2262" t="str">
        <f>"Active Befriending Scheme Transfer Payments - School Children And Students Transfer Payments Older People Commissioning Budget Adult Health &amp; So"</f>
        <v>Active Befriending Scheme Transfer Payments - School Children And Students Transfer Payments Older People Commissioning Budget Adult Health &amp; So</v>
      </c>
    </row>
    <row r="2263" spans="1:10" x14ac:dyDescent="0.35">
      <c r="A2263" t="str">
        <f t="shared" si="399"/>
        <v>JAN</v>
      </c>
      <c r="B2263" t="str">
        <f t="shared" si="400"/>
        <v>21</v>
      </c>
      <c r="C2263" t="str">
        <f t="shared" si="403"/>
        <v>2020/21</v>
      </c>
      <c r="D2263" t="str">
        <f t="shared" si="406"/>
        <v>SS CO 113363</v>
      </c>
      <c r="E2263" t="str">
        <f t="shared" si="404"/>
        <v>SS</v>
      </c>
      <c r="F2263" t="s">
        <v>25</v>
      </c>
      <c r="G2263" t="s">
        <v>22</v>
      </c>
      <c r="H2263">
        <v>6250</v>
      </c>
      <c r="I2263" t="str">
        <f t="shared" si="407"/>
        <v>Age Uk Calderdale &amp; Kirklees</v>
      </c>
      <c r="J2263" t="str">
        <f>"Shop Mobility grant Transfer Payments - Social Services Clients Transfer Payments Older People Commissioning Budget Adult Health &amp; Social Care"</f>
        <v>Shop Mobility grant Transfer Payments - Social Services Clients Transfer Payments Older People Commissioning Budget Adult Health &amp; Social Care</v>
      </c>
    </row>
    <row r="2264" spans="1:10" x14ac:dyDescent="0.35">
      <c r="A2264" t="str">
        <f t="shared" si="399"/>
        <v>JAN</v>
      </c>
      <c r="B2264" t="str">
        <f t="shared" si="400"/>
        <v>21</v>
      </c>
      <c r="C2264" t="str">
        <f t="shared" si="403"/>
        <v>2020/21</v>
      </c>
      <c r="D2264" t="str">
        <f t="shared" si="406"/>
        <v>SS CO 113363</v>
      </c>
      <c r="E2264" t="str">
        <f t="shared" si="404"/>
        <v>SS</v>
      </c>
      <c r="F2264" t="s">
        <v>25</v>
      </c>
      <c r="G2264" t="s">
        <v>22</v>
      </c>
      <c r="H2264">
        <v>6250</v>
      </c>
      <c r="I2264" t="str">
        <f t="shared" si="407"/>
        <v>Age Uk Calderdale &amp; Kirklees</v>
      </c>
      <c r="J2264" t="str">
        <f>"Shop Mobility grant Transfer Payments - Social Services Clients Transfer Payments Older People Commissioning Budget Adult Health &amp; Social Care"</f>
        <v>Shop Mobility grant Transfer Payments - Social Services Clients Transfer Payments Older People Commissioning Budget Adult Health &amp; Social Care</v>
      </c>
    </row>
    <row r="2265" spans="1:10" x14ac:dyDescent="0.35">
      <c r="A2265" t="str">
        <f t="shared" si="399"/>
        <v>JAN</v>
      </c>
      <c r="B2265" t="str">
        <f t="shared" si="400"/>
        <v>21</v>
      </c>
      <c r="C2265" t="str">
        <f t="shared" si="403"/>
        <v>2020/21</v>
      </c>
      <c r="D2265" t="str">
        <f>"SS FD 114113"</f>
        <v>SS FD 114113</v>
      </c>
      <c r="E2265" t="str">
        <f t="shared" si="404"/>
        <v>SS</v>
      </c>
      <c r="F2265" t="s">
        <v>25</v>
      </c>
      <c r="G2265" t="s">
        <v>22</v>
      </c>
      <c r="H2265">
        <v>266.5</v>
      </c>
      <c r="I2265" t="str">
        <f t="shared" si="407"/>
        <v>Age Uk Calderdale &amp; Kirklees</v>
      </c>
      <c r="J2265" t="s">
        <v>8</v>
      </c>
    </row>
    <row r="2266" spans="1:10" x14ac:dyDescent="0.35">
      <c r="A2266" t="str">
        <f t="shared" si="399"/>
        <v>JAN</v>
      </c>
      <c r="B2266" t="str">
        <f t="shared" si="400"/>
        <v>21</v>
      </c>
      <c r="C2266" t="str">
        <f t="shared" si="403"/>
        <v>2020/21</v>
      </c>
      <c r="D2266" t="str">
        <f>"SS CO 113367"</f>
        <v>SS CO 113367</v>
      </c>
      <c r="E2266" t="str">
        <f t="shared" si="404"/>
        <v>SS</v>
      </c>
      <c r="F2266" t="s">
        <v>25</v>
      </c>
      <c r="G2266" t="s">
        <v>22</v>
      </c>
      <c r="H2266">
        <v>5708.2</v>
      </c>
      <c r="I2266" t="str">
        <f>"Cloverleaf Advocacy 2000 Ltd"</f>
        <v>Cloverleaf Advocacy 2000 Ltd</v>
      </c>
      <c r="J2266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2267" spans="1:10" x14ac:dyDescent="0.35">
      <c r="A2267" t="str">
        <f t="shared" si="399"/>
        <v>JAN</v>
      </c>
      <c r="B2267" t="str">
        <f t="shared" si="400"/>
        <v>21</v>
      </c>
      <c r="C2267" t="str">
        <f t="shared" si="403"/>
        <v>2020/21</v>
      </c>
      <c r="D2267" t="str">
        <f>"SS CO 112761"</f>
        <v>SS CO 112761</v>
      </c>
      <c r="E2267" t="str">
        <f t="shared" si="404"/>
        <v>SS</v>
      </c>
      <c r="F2267" t="s">
        <v>25</v>
      </c>
      <c r="G2267" t="s">
        <v>22</v>
      </c>
      <c r="H2267">
        <v>7402.25</v>
      </c>
      <c r="I2267" t="str">
        <f>"The Stroke Association"</f>
        <v>The Stroke Association</v>
      </c>
      <c r="J2267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2268" spans="1:10" x14ac:dyDescent="0.35">
      <c r="A2268" t="str">
        <f t="shared" si="399"/>
        <v>JAN</v>
      </c>
      <c r="B2268" t="str">
        <f t="shared" si="400"/>
        <v>21</v>
      </c>
      <c r="C2268" t="str">
        <f t="shared" si="403"/>
        <v>2020/21</v>
      </c>
      <c r="D2268" t="str">
        <f>"LS PS 204965"</f>
        <v>LS PS 204965</v>
      </c>
      <c r="E2268" t="str">
        <f t="shared" si="404"/>
        <v>LS</v>
      </c>
      <c r="F2268" t="s">
        <v>35</v>
      </c>
      <c r="G2268" t="s">
        <v>14</v>
      </c>
      <c r="H2268">
        <v>70</v>
      </c>
      <c r="I2268" t="str">
        <f>"British Parking Association"</f>
        <v>British Parking Association</v>
      </c>
      <c r="J2268" t="str">
        <f>"Subscriptions - General Grants And Subscriptions Supplies And Services Parking Administration Green Space and Street Scene"</f>
        <v>Subscriptions - General Grants And Subscriptions Supplies And Services Parking Administration Green Space and Street Scene</v>
      </c>
    </row>
    <row r="2269" spans="1:10" x14ac:dyDescent="0.35">
      <c r="A2269" t="str">
        <f t="shared" si="399"/>
        <v>JAN</v>
      </c>
      <c r="B2269" t="str">
        <f t="shared" si="400"/>
        <v>21</v>
      </c>
      <c r="C2269" t="str">
        <f t="shared" si="403"/>
        <v>2020/21</v>
      </c>
      <c r="D2269" t="str">
        <f>"LS PS 204965"</f>
        <v>LS PS 204965</v>
      </c>
      <c r="E2269" t="str">
        <f t="shared" si="404"/>
        <v>LS</v>
      </c>
      <c r="F2269" t="s">
        <v>35</v>
      </c>
      <c r="G2269" t="s">
        <v>14</v>
      </c>
      <c r="H2269">
        <v>4089</v>
      </c>
      <c r="I2269" t="str">
        <f>"British Parking Association"</f>
        <v>British Parking Association</v>
      </c>
      <c r="J2269" t="str">
        <f>"Subscriptions - General Grants And Subscriptions Supplies And Services Parking Administration Green Space and Street Scene"</f>
        <v>Subscriptions - General Grants And Subscriptions Supplies And Services Parking Administration Green Space and Street Scene</v>
      </c>
    </row>
    <row r="2270" spans="1:10" x14ac:dyDescent="0.35">
      <c r="A2270" t="str">
        <f t="shared" si="399"/>
        <v>JAN</v>
      </c>
      <c r="B2270" t="str">
        <f t="shared" si="400"/>
        <v>21</v>
      </c>
      <c r="C2270" t="str">
        <f t="shared" si="403"/>
        <v>2020/21</v>
      </c>
      <c r="D2270" t="str">
        <f>"LS HO 206600"</f>
        <v>LS HO 206600</v>
      </c>
      <c r="E2270" t="str">
        <f t="shared" si="404"/>
        <v>LS</v>
      </c>
      <c r="F2270" t="s">
        <v>35</v>
      </c>
      <c r="G2270" t="s">
        <v>14</v>
      </c>
      <c r="H2270">
        <v>250</v>
      </c>
      <c r="I2270" t="str">
        <f>"Canal &amp; River Trust (British Waterways)"</f>
        <v>Canal &amp; River Trust (British Waterways)</v>
      </c>
      <c r="J2270" t="str">
        <f>"Equipment Tools &amp; Materials - General Equipment Furniture And Materials Supplies And Services Highway Operations Green Space and Street Scene"</f>
        <v>Equipment Tools &amp; Materials - General Equipment Furniture And Materials Supplies And Services Highway Operations Green Space and Street Scene</v>
      </c>
    </row>
    <row r="2271" spans="1:10" x14ac:dyDescent="0.35">
      <c r="A2271" t="str">
        <f t="shared" si="399"/>
        <v>JAN</v>
      </c>
      <c r="B2271" t="str">
        <f t="shared" si="400"/>
        <v>21</v>
      </c>
      <c r="C2271" t="str">
        <f t="shared" si="403"/>
        <v>2020/21</v>
      </c>
      <c r="D2271" t="str">
        <f>"LS HO 206600"</f>
        <v>LS HO 206600</v>
      </c>
      <c r="E2271" t="str">
        <f t="shared" si="404"/>
        <v>LS</v>
      </c>
      <c r="F2271" t="s">
        <v>35</v>
      </c>
      <c r="G2271" t="s">
        <v>14</v>
      </c>
      <c r="H2271">
        <v>1.05</v>
      </c>
      <c r="I2271" t="str">
        <f>"Canal &amp; River Trust (British Waterways)"</f>
        <v>Canal &amp; River Trust (British Waterways)</v>
      </c>
      <c r="J2271" t="str">
        <f>"Equipment Tools &amp; Materials - General Equipment Furniture And Materials Supplies And Services Highway Operations Green Space and Street Scene"</f>
        <v>Equipment Tools &amp; Materials - General Equipment Furniture And Materials Supplies And Services Highway Operations Green Space and Street Scene</v>
      </c>
    </row>
    <row r="2272" spans="1:10" x14ac:dyDescent="0.35">
      <c r="A2272" t="str">
        <f t="shared" si="399"/>
        <v>JAN</v>
      </c>
      <c r="B2272" t="str">
        <f t="shared" si="400"/>
        <v>21</v>
      </c>
      <c r="C2272" t="str">
        <f t="shared" si="403"/>
        <v>2020/21</v>
      </c>
      <c r="D2272" t="str">
        <f>"LS NB 206441"</f>
        <v>LS NB 206441</v>
      </c>
      <c r="E2272" t="str">
        <f t="shared" si="404"/>
        <v>LS</v>
      </c>
      <c r="F2272" t="s">
        <v>43</v>
      </c>
      <c r="G2272" t="s">
        <v>14</v>
      </c>
      <c r="H2272">
        <v>410</v>
      </c>
      <c r="I2272" t="str">
        <f>"Halifax Harriers Athletic Club"</f>
        <v>Halifax Harriers Athletic Club</v>
      </c>
      <c r="J2272" t="str">
        <f>"Disability Project Expenses Expenses Supplies And Services Leisure in Action Sport &amp; Leisure Management DSO"</f>
        <v>Disability Project Expenses Expenses Supplies And Services Leisure in Action Sport &amp; Leisure Management DSO</v>
      </c>
    </row>
    <row r="2273" spans="1:10" x14ac:dyDescent="0.35">
      <c r="A2273" t="str">
        <f t="shared" ref="A2273:A2336" si="408">"FEB"</f>
        <v>FEB</v>
      </c>
      <c r="B2273" t="str">
        <f t="shared" si="400"/>
        <v>21</v>
      </c>
      <c r="C2273" t="str">
        <f t="shared" si="403"/>
        <v>2020/21</v>
      </c>
      <c r="D2273" t="str">
        <f>"LS GV 206831"</f>
        <v>LS GV 206831</v>
      </c>
      <c r="E2273" t="str">
        <f t="shared" si="404"/>
        <v>LS</v>
      </c>
      <c r="F2273" t="s">
        <v>13</v>
      </c>
      <c r="G2273" t="s">
        <v>14</v>
      </c>
      <c r="H2273">
        <v>1000</v>
      </c>
      <c r="I2273" t="str">
        <f>"North Bank Forum for Voluntary Organisations Ltd"</f>
        <v>North Bank Forum for Voluntary Organisations Ltd</v>
      </c>
      <c r="J2273" t="str">
        <f>"North Halifax Partnership Grants And Subscriptions Supplies And Services Neighbourhood Working Community Safety &amp; Support"</f>
        <v>North Halifax Partnership Grants And Subscriptions Supplies And Services Neighbourhood Working Community Safety &amp; Support</v>
      </c>
    </row>
    <row r="2274" spans="1:10" x14ac:dyDescent="0.35">
      <c r="A2274" t="str">
        <f t="shared" si="408"/>
        <v>FEB</v>
      </c>
      <c r="B2274" t="str">
        <f t="shared" si="400"/>
        <v>21</v>
      </c>
      <c r="C2274" t="str">
        <f t="shared" si="403"/>
        <v>2020/21</v>
      </c>
      <c r="D2274" t="str">
        <f>"LS CS 206691"</f>
        <v>LS CS 206691</v>
      </c>
      <c r="E2274" t="str">
        <f t="shared" si="404"/>
        <v>LS</v>
      </c>
      <c r="F2274" t="s">
        <v>13</v>
      </c>
      <c r="G2274" t="s">
        <v>14</v>
      </c>
      <c r="H2274">
        <v>2400</v>
      </c>
      <c r="I2274" t="str">
        <f>"The Foundation For Families"</f>
        <v>The Foundation For Families</v>
      </c>
      <c r="J2274" t="str">
        <f>"Domestic Homicide Review (DHR) Funding Other Grants Reimbursements And Contributions Income Community Safety Partnership Community Safety &amp; Supp"</f>
        <v>Domestic Homicide Review (DHR) Funding Other Grants Reimbursements And Contributions Income Community Safety Partnership Community Safety &amp; Supp</v>
      </c>
    </row>
    <row r="2275" spans="1:10" x14ac:dyDescent="0.35">
      <c r="A2275" t="str">
        <f t="shared" si="408"/>
        <v>FEB</v>
      </c>
      <c r="B2275" t="str">
        <f t="shared" si="400"/>
        <v>21</v>
      </c>
      <c r="C2275" t="str">
        <f t="shared" si="403"/>
        <v>2020/21</v>
      </c>
      <c r="D2275" t="str">
        <f>"LS CS 206691"</f>
        <v>LS CS 206691</v>
      </c>
      <c r="E2275" t="str">
        <f t="shared" si="404"/>
        <v>LS</v>
      </c>
      <c r="F2275" t="s">
        <v>13</v>
      </c>
      <c r="G2275" t="s">
        <v>14</v>
      </c>
      <c r="H2275">
        <v>400</v>
      </c>
      <c r="I2275" t="str">
        <f>"The Foundation For Families"</f>
        <v>The Foundation For Families</v>
      </c>
      <c r="J2275" t="str">
        <f>"Domestic Homicide Review (DHR) Funding Other Grants Reimbursements And Contributions Income Community Safety Partnership Community Safety &amp; Supp"</f>
        <v>Domestic Homicide Review (DHR) Funding Other Grants Reimbursements And Contributions Income Community Safety Partnership Community Safety &amp; Supp</v>
      </c>
    </row>
    <row r="2276" spans="1:10" x14ac:dyDescent="0.35">
      <c r="A2276" t="str">
        <f t="shared" si="408"/>
        <v>FEB</v>
      </c>
      <c r="B2276" t="str">
        <f t="shared" si="400"/>
        <v>21</v>
      </c>
      <c r="C2276" t="str">
        <f t="shared" si="403"/>
        <v>2020/21</v>
      </c>
      <c r="D2276" t="str">
        <f>"LS CL 206677"</f>
        <v>LS CL 206677</v>
      </c>
      <c r="E2276" t="str">
        <f t="shared" si="404"/>
        <v>LS</v>
      </c>
      <c r="F2276" t="s">
        <v>15</v>
      </c>
      <c r="G2276" t="s">
        <v>14</v>
      </c>
      <c r="H2276">
        <v>67</v>
      </c>
      <c r="I2276" t="str">
        <f>"Sowerby Bridge Fire And Water Ltd"</f>
        <v>Sowerby Bridge Fire And Water Ltd</v>
      </c>
      <c r="J2276" t="str">
        <f>"Sales-Miscellaneous Items Customer And Client Receipts-Sales Customer And Client Receipts - Sales Income Libraries Income Libraries Info &amp; Touri"</f>
        <v>Sales-Miscellaneous Items Customer And Client Receipts-Sales Customer And Client Receipts - Sales Income Libraries Income Libraries Info &amp; Touri</v>
      </c>
    </row>
    <row r="2277" spans="1:10" x14ac:dyDescent="0.35">
      <c r="A2277" t="str">
        <f t="shared" si="408"/>
        <v>FEB</v>
      </c>
      <c r="B2277" t="str">
        <f t="shared" si="400"/>
        <v>21</v>
      </c>
      <c r="C2277" t="str">
        <f t="shared" si="403"/>
        <v>2020/21</v>
      </c>
      <c r="D2277" t="str">
        <f>"FI BE 021363"</f>
        <v>FI BE 021363</v>
      </c>
      <c r="E2277" t="str">
        <f t="shared" si="404"/>
        <v>FI</v>
      </c>
      <c r="F2277" t="s">
        <v>38</v>
      </c>
      <c r="G2277" t="s">
        <v>14</v>
      </c>
      <c r="H2277">
        <v>350</v>
      </c>
      <c r="I2277" t="str">
        <f>"Calder Valley Transport"</f>
        <v>Calder Valley Transport</v>
      </c>
      <c r="J2277" t="str">
        <f>"Rent Allow - Manual Cheques Transfer Payments - Housing Benefits Transfer Payments Benefits Customer Services and Communications"</f>
        <v>Rent Allow - Manual Cheques Transfer Payments - Housing Benefits Transfer Payments Benefits Customer Services and Communications</v>
      </c>
    </row>
    <row r="2278" spans="1:10" x14ac:dyDescent="0.35">
      <c r="A2278" t="str">
        <f t="shared" si="408"/>
        <v>FEB</v>
      </c>
      <c r="B2278" t="str">
        <f t="shared" si="400"/>
        <v>21</v>
      </c>
      <c r="C2278" t="str">
        <f t="shared" si="403"/>
        <v>2020/21</v>
      </c>
      <c r="D2278" t="str">
        <f>"FI BE 021364"</f>
        <v>FI BE 021364</v>
      </c>
      <c r="E2278" t="str">
        <f t="shared" si="404"/>
        <v>FI</v>
      </c>
      <c r="F2278" t="s">
        <v>38</v>
      </c>
      <c r="G2278" t="s">
        <v>14</v>
      </c>
      <c r="H2278">
        <v>166.67</v>
      </c>
      <c r="I2278" t="str">
        <f>"Colt Enterprise (Calderdale) Ltd"</f>
        <v>Colt Enterprise (Calderdale) Ltd</v>
      </c>
      <c r="J2278" t="str">
        <f>"Rent Allow - Manual Cheques Transfer Payments - Housing Benefits Transfer Payments Benefits Customer Services and Communications"</f>
        <v>Rent Allow - Manual Cheques Transfer Payments - Housing Benefits Transfer Payments Benefits Customer Services and Communications</v>
      </c>
    </row>
    <row r="2279" spans="1:10" x14ac:dyDescent="0.35">
      <c r="A2279" t="str">
        <f t="shared" si="408"/>
        <v>FEB</v>
      </c>
      <c r="B2279" t="str">
        <f t="shared" si="400"/>
        <v>21</v>
      </c>
      <c r="C2279" t="str">
        <f t="shared" si="403"/>
        <v>2020/21</v>
      </c>
      <c r="D2279" t="str">
        <f>"LS MU 206715"</f>
        <v>LS MU 206715</v>
      </c>
      <c r="E2279" t="str">
        <f t="shared" si="404"/>
        <v>LS</v>
      </c>
      <c r="F2279" t="s">
        <v>16</v>
      </c>
      <c r="G2279" t="s">
        <v>14</v>
      </c>
      <c r="H2279">
        <v>59250</v>
      </c>
      <c r="I2279" t="str">
        <f>"The Piece Hall Trust"</f>
        <v>The Piece Hall Trust</v>
      </c>
      <c r="J2279" t="str">
        <f>"Miscellaneous General Miscellaneous Expenses Supplies And Services Piece Hall Museums &amp; Arts"</f>
        <v>Miscellaneous General Miscellaneous Expenses Supplies And Services Piece Hall Museums &amp; Arts</v>
      </c>
    </row>
    <row r="2280" spans="1:10" x14ac:dyDescent="0.35">
      <c r="A2280" t="str">
        <f t="shared" si="408"/>
        <v>FEB</v>
      </c>
      <c r="B2280" t="str">
        <f t="shared" si="400"/>
        <v>21</v>
      </c>
      <c r="C2280" t="str">
        <f t="shared" si="403"/>
        <v>2020/21</v>
      </c>
      <c r="D2280" t="str">
        <f>"LS MU 206739"</f>
        <v>LS MU 206739</v>
      </c>
      <c r="E2280" t="str">
        <f t="shared" si="404"/>
        <v>LS</v>
      </c>
      <c r="F2280" t="s">
        <v>16</v>
      </c>
      <c r="G2280" t="s">
        <v>14</v>
      </c>
      <c r="H2280">
        <v>87500</v>
      </c>
      <c r="I2280" t="str">
        <f>"The Piece Hall Trust"</f>
        <v>The Piece Hall Trust</v>
      </c>
      <c r="J2280" t="str">
        <f>"Miscellaneous General Miscellaneous Expenses Supplies And Services Piece Hall Museums &amp; Arts"</f>
        <v>Miscellaneous General Miscellaneous Expenses Supplies And Services Piece Hall Museums &amp; Arts</v>
      </c>
    </row>
    <row r="2281" spans="1:10" x14ac:dyDescent="0.35">
      <c r="A2281" t="str">
        <f t="shared" si="408"/>
        <v>FEB</v>
      </c>
      <c r="B2281" t="str">
        <f t="shared" si="400"/>
        <v>21</v>
      </c>
      <c r="C2281" t="str">
        <f t="shared" si="403"/>
        <v>2020/21</v>
      </c>
      <c r="D2281" t="str">
        <f>"TF CI 000757"</f>
        <v>TF CI 000757</v>
      </c>
      <c r="E2281" t="str">
        <f t="shared" si="404"/>
        <v>TF</v>
      </c>
      <c r="F2281" t="s">
        <v>17</v>
      </c>
      <c r="G2281" t="s">
        <v>18</v>
      </c>
      <c r="H2281">
        <v>12149.92</v>
      </c>
      <c r="I2281" t="str">
        <f>"Hebden Bridge Community Association"</f>
        <v>Hebden Bridge Community Association</v>
      </c>
      <c r="J2281" t="str">
        <f>"Rent of Hebden Br Council Offices from HBCA Rent And Rates Premises And Related Expenses Policy and Voluntary Sector Economy and Investment"</f>
        <v>Rent of Hebden Br Council Offices from HBCA Rent And Rates Premises And Related Expenses Policy and Voluntary Sector Economy and Investment</v>
      </c>
    </row>
    <row r="2282" spans="1:10" x14ac:dyDescent="0.35">
      <c r="A2282" t="str">
        <f t="shared" si="408"/>
        <v>FEB</v>
      </c>
      <c r="B2282" t="str">
        <f t="shared" si="400"/>
        <v>21</v>
      </c>
      <c r="C2282" t="str">
        <f t="shared" si="403"/>
        <v>2020/21</v>
      </c>
      <c r="D2282" t="str">
        <f>"LS GV 206745"</f>
        <v>LS GV 206745</v>
      </c>
      <c r="E2282" t="str">
        <f t="shared" si="404"/>
        <v>LS</v>
      </c>
      <c r="F2282" t="s">
        <v>17</v>
      </c>
      <c r="G2282" t="s">
        <v>18</v>
      </c>
      <c r="H2282">
        <v>1000</v>
      </c>
      <c r="I2282" t="str">
        <f>"North Bank Forum for Voluntary Organisations Ltd"</f>
        <v>North Bank Forum for Voluntary Organisations Ltd</v>
      </c>
      <c r="J2282" t="str">
        <f>"Locality hubs - prepaid cards Grants And Subscriptions Supplies And Services COVID19 - DEFRA Emergency Assistance Grant Economy and Investment"</f>
        <v>Locality hubs - prepaid cards Grants And Subscriptions Supplies And Services COVID19 - DEFRA Emergency Assistance Grant Economy and Investment</v>
      </c>
    </row>
    <row r="2283" spans="1:10" x14ac:dyDescent="0.35">
      <c r="A2283" t="str">
        <f t="shared" si="408"/>
        <v>FEB</v>
      </c>
      <c r="B2283" t="str">
        <f t="shared" si="400"/>
        <v>21</v>
      </c>
      <c r="C2283" t="str">
        <f t="shared" si="403"/>
        <v>2020/21</v>
      </c>
      <c r="D2283" t="str">
        <f>"TF CI 000749"</f>
        <v>TF CI 000749</v>
      </c>
      <c r="E2283" t="str">
        <f t="shared" si="404"/>
        <v>TF</v>
      </c>
      <c r="F2283" t="s">
        <v>17</v>
      </c>
      <c r="G2283" t="s">
        <v>18</v>
      </c>
      <c r="H2283">
        <v>432.83</v>
      </c>
      <c r="I2283" t="str">
        <f>"The Piece Hall Trust"</f>
        <v>The Piece Hall Trust</v>
      </c>
      <c r="J2283" t="str">
        <f>"Rent Rent And Rates Premises And Related Expenses Halifax TIC Economy and Investment"</f>
        <v>Rent Rent And Rates Premises And Related Expenses Halifax TIC Economy and Investment</v>
      </c>
    </row>
    <row r="2284" spans="1:10" x14ac:dyDescent="0.35">
      <c r="A2284" t="str">
        <f t="shared" si="408"/>
        <v>FEB</v>
      </c>
      <c r="B2284" t="str">
        <f t="shared" si="400"/>
        <v>21</v>
      </c>
      <c r="C2284" t="str">
        <f t="shared" si="403"/>
        <v>2020/21</v>
      </c>
      <c r="D2284" t="str">
        <f>"PL RS 021021"</f>
        <v>PL RS 021021</v>
      </c>
      <c r="E2284" t="str">
        <f t="shared" si="404"/>
        <v>PL</v>
      </c>
      <c r="F2284" t="s">
        <v>17</v>
      </c>
      <c r="G2284" t="s">
        <v>18</v>
      </c>
      <c r="H2284">
        <v>2100</v>
      </c>
      <c r="I2284" t="str">
        <f>"Sowerby Bridge Fire And Water Ltd"</f>
        <v>Sowerby Bridge Fire And Water Ltd</v>
      </c>
      <c r="J2284" t="str">
        <f>"Misc Expenses Miscellaneous Expenses Supplies And Services Heritage Action Zone - Sowerby Bridge Economy and Investment"</f>
        <v>Misc Expenses Miscellaneous Expenses Supplies And Services Heritage Action Zone - Sowerby Bridge Economy and Investment</v>
      </c>
    </row>
    <row r="2285" spans="1:10" x14ac:dyDescent="0.35">
      <c r="A2285" t="str">
        <f t="shared" si="408"/>
        <v>FEB</v>
      </c>
      <c r="B2285" t="str">
        <f t="shared" si="400"/>
        <v>21</v>
      </c>
      <c r="C2285" t="str">
        <f t="shared" si="403"/>
        <v>2020/21</v>
      </c>
      <c r="D2285" t="str">
        <f>"PL RS 021023"</f>
        <v>PL RS 021023</v>
      </c>
      <c r="E2285" t="str">
        <f t="shared" si="404"/>
        <v>PL</v>
      </c>
      <c r="F2285" t="s">
        <v>17</v>
      </c>
      <c r="G2285" t="s">
        <v>18</v>
      </c>
      <c r="H2285">
        <v>420</v>
      </c>
      <c r="I2285" t="str">
        <f>"Sowerby Bridge Fire And Water Ltd"</f>
        <v>Sowerby Bridge Fire And Water Ltd</v>
      </c>
      <c r="J2285" t="str">
        <f>"Misc Expenses Miscellaneous Expenses Supplies And Services Heritage Action Zone - Sowerby Bridge Economy and Investment"</f>
        <v>Misc Expenses Miscellaneous Expenses Supplies And Services Heritage Action Zone - Sowerby Bridge Economy and Investment</v>
      </c>
    </row>
    <row r="2286" spans="1:10" x14ac:dyDescent="0.35">
      <c r="A2286" t="str">
        <f t="shared" si="408"/>
        <v>FEB</v>
      </c>
      <c r="B2286" t="str">
        <f t="shared" si="400"/>
        <v>21</v>
      </c>
      <c r="C2286" t="str">
        <f t="shared" si="403"/>
        <v>2020/21</v>
      </c>
      <c r="D2286" t="str">
        <f>"PL RS 021031"</f>
        <v>PL RS 021031</v>
      </c>
      <c r="E2286" t="str">
        <f t="shared" si="404"/>
        <v>PL</v>
      </c>
      <c r="F2286" t="s">
        <v>17</v>
      </c>
      <c r="G2286" t="s">
        <v>18</v>
      </c>
      <c r="H2286">
        <v>2000</v>
      </c>
      <c r="I2286" t="str">
        <f>"Sowerby Bridge Fire And Water Ltd"</f>
        <v>Sowerby Bridge Fire And Water Ltd</v>
      </c>
      <c r="J2286" t="str">
        <f>"Misc Expenses Miscellaneous Expenses Supplies And Services Heritage Action Zone - Sowerby Bridge Economy and Investment"</f>
        <v>Misc Expenses Miscellaneous Expenses Supplies And Services Heritage Action Zone - Sowerby Bridge Economy and Investment</v>
      </c>
    </row>
    <row r="2287" spans="1:10" x14ac:dyDescent="0.35">
      <c r="A2287" t="str">
        <f t="shared" si="408"/>
        <v>FEB</v>
      </c>
      <c r="B2287" t="str">
        <f t="shared" si="400"/>
        <v>21</v>
      </c>
      <c r="C2287" t="str">
        <f t="shared" si="403"/>
        <v>2020/21</v>
      </c>
      <c r="D2287" t="str">
        <f>"PL RS 021031"</f>
        <v>PL RS 021031</v>
      </c>
      <c r="E2287" t="str">
        <f t="shared" si="404"/>
        <v>PL</v>
      </c>
      <c r="F2287" t="s">
        <v>17</v>
      </c>
      <c r="G2287" t="s">
        <v>18</v>
      </c>
      <c r="H2287">
        <v>2250</v>
      </c>
      <c r="I2287" t="str">
        <f>"Sowerby Bridge Fire And Water Ltd"</f>
        <v>Sowerby Bridge Fire And Water Ltd</v>
      </c>
      <c r="J2287" t="str">
        <f>"Misc Expenses Miscellaneous Expenses Supplies And Services Heritage Action Zone - Sowerby Bridge Economy and Investment"</f>
        <v>Misc Expenses Miscellaneous Expenses Supplies And Services Heritage Action Zone - Sowerby Bridge Economy and Investment</v>
      </c>
    </row>
    <row r="2288" spans="1:10" x14ac:dyDescent="0.35">
      <c r="A2288" t="str">
        <f t="shared" si="408"/>
        <v>FEB</v>
      </c>
      <c r="B2288" t="str">
        <f t="shared" si="400"/>
        <v>21</v>
      </c>
      <c r="C2288" t="str">
        <f t="shared" si="403"/>
        <v>2020/21</v>
      </c>
      <c r="D2288" t="str">
        <f>"SC CK 217447"</f>
        <v>SC CK 217447</v>
      </c>
      <c r="E2288" t="str">
        <f t="shared" si="404"/>
        <v>SC</v>
      </c>
      <c r="F2288" t="s">
        <v>21</v>
      </c>
      <c r="G2288" t="s">
        <v>22</v>
      </c>
      <c r="H2288">
        <v>4144.12</v>
      </c>
      <c r="I2288" t="str">
        <f>"Noahs Ark Centre"</f>
        <v>Noahs Ark Centre</v>
      </c>
      <c r="J2288" t="str">
        <f>"Prevention / Early Intervention Private Contractors Agency And Contracted Services Transformation Plan - grant funding Integrated commissioning"</f>
        <v>Prevention / Early Intervention Private Contractors Agency And Contracted Services Transformation Plan - grant funding Integrated commissioning</v>
      </c>
    </row>
    <row r="2289" spans="1:10" x14ac:dyDescent="0.35">
      <c r="A2289" t="str">
        <f t="shared" si="408"/>
        <v>FEB</v>
      </c>
      <c r="B2289" t="str">
        <f t="shared" si="400"/>
        <v>21</v>
      </c>
      <c r="C2289" t="str">
        <f t="shared" si="403"/>
        <v>2020/21</v>
      </c>
      <c r="D2289" t="str">
        <f>"SC CK 216111"</f>
        <v>SC CK 216111</v>
      </c>
      <c r="E2289" t="str">
        <f t="shared" si="404"/>
        <v>SC</v>
      </c>
      <c r="F2289" t="s">
        <v>21</v>
      </c>
      <c r="G2289" t="s">
        <v>22</v>
      </c>
      <c r="H2289">
        <v>18750</v>
      </c>
      <c r="I2289" t="str">
        <f>"Healthy Minds Calderdale Wellbeing"</f>
        <v>Healthy Minds Calderdale Wellbeing</v>
      </c>
      <c r="J2289" t="str">
        <f>"Tough Times College Private Contractors Agency And Contracted Services Transformation Plan - grant funding Integrated commissioning - children's"</f>
        <v>Tough Times College Private Contractors Agency And Contracted Services Transformation Plan - grant funding Integrated commissioning - children's</v>
      </c>
    </row>
    <row r="2290" spans="1:10" x14ac:dyDescent="0.35">
      <c r="A2290" t="str">
        <f t="shared" si="408"/>
        <v>FEB</v>
      </c>
      <c r="B2290" t="str">
        <f t="shared" si="400"/>
        <v>21</v>
      </c>
      <c r="C2290" t="str">
        <f t="shared" si="403"/>
        <v>2020/21</v>
      </c>
      <c r="E2290" t="str">
        <f t="shared" si="404"/>
        <v/>
      </c>
      <c r="F2290" t="s">
        <v>21</v>
      </c>
      <c r="G2290" t="s">
        <v>22</v>
      </c>
      <c r="H2290">
        <v>1250</v>
      </c>
      <c r="I2290" t="str">
        <f>"Unique Ways"</f>
        <v>Unique Ways</v>
      </c>
      <c r="J2290" t="str">
        <f>"Consultation &amp; Engagement Voluntary Associations Agency And Contracted Services CYP Commissioned Services Integrated commissioning - children's"</f>
        <v>Consultation &amp; Engagement Voluntary Associations Agency And Contracted Services CYP Commissioned Services Integrated commissioning - children's</v>
      </c>
    </row>
    <row r="2291" spans="1:10" x14ac:dyDescent="0.35">
      <c r="A2291" t="str">
        <f t="shared" si="408"/>
        <v>FEB</v>
      </c>
      <c r="B2291" t="str">
        <f t="shared" ref="B2291:B2354" si="409">"21"</f>
        <v>21</v>
      </c>
      <c r="C2291" t="str">
        <f t="shared" si="403"/>
        <v>2020/21</v>
      </c>
      <c r="E2291" t="str">
        <f t="shared" si="404"/>
        <v/>
      </c>
      <c r="F2291" t="s">
        <v>21</v>
      </c>
      <c r="G2291" t="s">
        <v>22</v>
      </c>
      <c r="H2291">
        <v>2227.75</v>
      </c>
      <c r="I2291" t="str">
        <f>"Unique Ways"</f>
        <v>Unique Ways</v>
      </c>
      <c r="J2291" t="str">
        <f>"Consultation &amp; Engagement Voluntary Associations Agency And Contracted Services CYP Commissioned Services Integrated commissioning - children's"</f>
        <v>Consultation &amp; Engagement Voluntary Associations Agency And Contracted Services CYP Commissioned Services Integrated commissioning - children's</v>
      </c>
    </row>
    <row r="2292" spans="1:10" x14ac:dyDescent="0.35">
      <c r="A2292" t="str">
        <f t="shared" si="408"/>
        <v>FEB</v>
      </c>
      <c r="B2292" t="str">
        <f t="shared" si="409"/>
        <v>21</v>
      </c>
      <c r="C2292" t="str">
        <f t="shared" si="403"/>
        <v>2020/21</v>
      </c>
      <c r="E2292" t="str">
        <f t="shared" si="404"/>
        <v/>
      </c>
      <c r="F2292" t="s">
        <v>21</v>
      </c>
      <c r="G2292" t="s">
        <v>22</v>
      </c>
      <c r="H2292">
        <v>1750</v>
      </c>
      <c r="I2292" t="str">
        <f>"Unique Ways"</f>
        <v>Unique Ways</v>
      </c>
      <c r="J2292" t="str">
        <f>"Consultation &amp; Engagement Voluntary Associations Agency And Contracted Services CYP Commissioned Services Integrated commissioning - children's"</f>
        <v>Consultation &amp; Engagement Voluntary Associations Agency And Contracted Services CYP Commissioned Services Integrated commissioning - children's</v>
      </c>
    </row>
    <row r="2293" spans="1:10" x14ac:dyDescent="0.35">
      <c r="A2293" t="str">
        <f t="shared" si="408"/>
        <v>FEB</v>
      </c>
      <c r="B2293" t="str">
        <f t="shared" si="409"/>
        <v>21</v>
      </c>
      <c r="C2293" t="str">
        <f t="shared" si="403"/>
        <v>2020/21</v>
      </c>
      <c r="D2293" t="str">
        <f>"SC CK 214912"</f>
        <v>SC CK 214912</v>
      </c>
      <c r="E2293" t="str">
        <f t="shared" si="404"/>
        <v>SC</v>
      </c>
      <c r="F2293" t="s">
        <v>21</v>
      </c>
      <c r="G2293" t="s">
        <v>22</v>
      </c>
      <c r="H2293">
        <v>12500</v>
      </c>
      <c r="I2293" t="str">
        <f>"Noahs Ark Centre"</f>
        <v>Noahs Ark Centre</v>
      </c>
      <c r="J2293" t="str">
        <f>"MH/EWB Pilot Scheme 19/20 Bdgt Growth Private Contractors Agency And Contracted Services CYP Commissioned Services Integrated commissioning - ch"</f>
        <v>MH/EWB Pilot Scheme 19/20 Bdgt Growth Private Contractors Agency And Contracted Services CYP Commissioned Services Integrated commissioning - ch</v>
      </c>
    </row>
    <row r="2294" spans="1:10" x14ac:dyDescent="0.35">
      <c r="A2294" t="str">
        <f t="shared" si="408"/>
        <v>FEB</v>
      </c>
      <c r="B2294" t="str">
        <f t="shared" si="409"/>
        <v>21</v>
      </c>
      <c r="C2294" t="str">
        <f t="shared" si="403"/>
        <v>2020/21</v>
      </c>
      <c r="D2294" t="str">
        <f>"SC DC 216886"</f>
        <v>SC DC 216886</v>
      </c>
      <c r="E2294" t="str">
        <f t="shared" si="404"/>
        <v>SC</v>
      </c>
      <c r="F2294" t="s">
        <v>21</v>
      </c>
      <c r="G2294" t="s">
        <v>22</v>
      </c>
      <c r="H2294">
        <v>148.32</v>
      </c>
      <c r="I2294" t="str">
        <f>"Carers Trust Mid Yorkshire"</f>
        <v>Carers Trust Mid Yorkshire</v>
      </c>
      <c r="J2294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2295" spans="1:10" x14ac:dyDescent="0.35">
      <c r="A2295" t="str">
        <f t="shared" si="408"/>
        <v>FEB</v>
      </c>
      <c r="B2295" t="str">
        <f t="shared" si="409"/>
        <v>21</v>
      </c>
      <c r="C2295" t="str">
        <f t="shared" si="403"/>
        <v>2020/21</v>
      </c>
      <c r="D2295" t="str">
        <f>"SC CK 218512"</f>
        <v>SC CK 218512</v>
      </c>
      <c r="E2295" t="str">
        <f t="shared" si="404"/>
        <v>SC</v>
      </c>
      <c r="F2295" t="s">
        <v>21</v>
      </c>
      <c r="G2295" t="s">
        <v>22</v>
      </c>
      <c r="H2295">
        <v>1300</v>
      </c>
      <c r="I2295" t="str">
        <f>"Phoenix Radio"</f>
        <v>Phoenix Radio</v>
      </c>
      <c r="J2295" t="str">
        <f>"Group Activities Other Agency And Contracted Services Agency And Contracted Services Short Breaks Integrated commissioning - children's"</f>
        <v>Group Activities Other Agency And Contracted Services Agency And Contracted Services Short Breaks Integrated commissioning - children's</v>
      </c>
    </row>
    <row r="2296" spans="1:10" x14ac:dyDescent="0.35">
      <c r="A2296" t="str">
        <f t="shared" si="408"/>
        <v>FEB</v>
      </c>
      <c r="B2296" t="str">
        <f t="shared" si="409"/>
        <v>21</v>
      </c>
      <c r="C2296" t="str">
        <f t="shared" si="403"/>
        <v>2020/21</v>
      </c>
      <c r="D2296" t="str">
        <f>"CE PH 014372"</f>
        <v>CE PH 014372</v>
      </c>
      <c r="E2296" t="str">
        <f t="shared" si="404"/>
        <v>CE</v>
      </c>
      <c r="F2296" t="s">
        <v>23</v>
      </c>
      <c r="G2296" t="s">
        <v>24</v>
      </c>
      <c r="H2296">
        <v>250000</v>
      </c>
      <c r="I2296" t="str">
        <f>"Voluntary Action Calderdale"</f>
        <v>Voluntary Action Calderdale</v>
      </c>
      <c r="J2296" t="str">
        <f>"Covid-19 costs Miscellaneous Expenses Supplies And Services Public Health Staffing costs Public Health"</f>
        <v>Covid-19 costs Miscellaneous Expenses Supplies And Services Public Health Staffing costs Public Health</v>
      </c>
    </row>
    <row r="2297" spans="1:10" x14ac:dyDescent="0.35">
      <c r="A2297" t="str">
        <f t="shared" si="408"/>
        <v>FEB</v>
      </c>
      <c r="B2297" t="str">
        <f t="shared" si="409"/>
        <v>21</v>
      </c>
      <c r="C2297" t="str">
        <f t="shared" si="403"/>
        <v>2020/21</v>
      </c>
      <c r="D2297" t="str">
        <f>"CE PH 014359"</f>
        <v>CE PH 014359</v>
      </c>
      <c r="E2297" t="str">
        <f t="shared" si="404"/>
        <v>CE</v>
      </c>
      <c r="F2297" t="s">
        <v>23</v>
      </c>
      <c r="G2297" t="s">
        <v>24</v>
      </c>
      <c r="H2297">
        <v>270</v>
      </c>
      <c r="I2297" t="str">
        <f>"The Basement Recovery Project"</f>
        <v>The Basement Recovery Project</v>
      </c>
      <c r="J2297" t="str">
        <f>"Rehab Private Contractors Agency And Contracted Services Substance Misuse Public Health"</f>
        <v>Rehab Private Contractors Agency And Contracted Services Substance Misuse Public Health</v>
      </c>
    </row>
    <row r="2298" spans="1:10" x14ac:dyDescent="0.35">
      <c r="A2298" t="str">
        <f t="shared" si="408"/>
        <v>FEB</v>
      </c>
      <c r="B2298" t="str">
        <f t="shared" si="409"/>
        <v>21</v>
      </c>
      <c r="C2298" t="str">
        <f t="shared" si="403"/>
        <v>2020/21</v>
      </c>
      <c r="D2298" t="str">
        <f>"CE PH 014104"</f>
        <v>CE PH 014104</v>
      </c>
      <c r="E2298" t="str">
        <f t="shared" si="404"/>
        <v>CE</v>
      </c>
      <c r="F2298" t="s">
        <v>23</v>
      </c>
      <c r="G2298" t="s">
        <v>24</v>
      </c>
      <c r="H2298">
        <v>249204.83</v>
      </c>
      <c r="I2298" t="str">
        <f>"Humankind"</f>
        <v>Humankind</v>
      </c>
      <c r="J2298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2299" spans="1:10" x14ac:dyDescent="0.35">
      <c r="A2299" t="str">
        <f t="shared" si="408"/>
        <v>FEB</v>
      </c>
      <c r="B2299" t="str">
        <f t="shared" si="409"/>
        <v>21</v>
      </c>
      <c r="C2299" t="str">
        <f t="shared" si="403"/>
        <v>2020/21</v>
      </c>
      <c r="D2299" t="str">
        <f>"CE PH 014379"</f>
        <v>CE PH 014379</v>
      </c>
      <c r="E2299" t="str">
        <f t="shared" si="404"/>
        <v>CE</v>
      </c>
      <c r="F2299" t="s">
        <v>23</v>
      </c>
      <c r="G2299" t="s">
        <v>24</v>
      </c>
      <c r="H2299">
        <v>10000</v>
      </c>
      <c r="I2299" t="str">
        <f>"The Basement Recovery Project"</f>
        <v>The Basement Recovery Project</v>
      </c>
      <c r="J2299" t="str">
        <f>"Alcohol prevention work Private Contractors Agency And Contracted Services Substance Misuse Public Health"</f>
        <v>Alcohol prevention work Private Contractors Agency And Contracted Services Substance Misuse Public Health</v>
      </c>
    </row>
    <row r="2300" spans="1:10" x14ac:dyDescent="0.35">
      <c r="A2300" t="str">
        <f t="shared" si="408"/>
        <v>FEB</v>
      </c>
      <c r="B2300" t="str">
        <f t="shared" si="409"/>
        <v>21</v>
      </c>
      <c r="C2300" t="str">
        <f t="shared" si="403"/>
        <v>2020/21</v>
      </c>
      <c r="D2300" t="str">
        <f>"CE PH 014373"</f>
        <v>CE PH 014373</v>
      </c>
      <c r="E2300" t="str">
        <f t="shared" si="404"/>
        <v>CE</v>
      </c>
      <c r="F2300" t="s">
        <v>23</v>
      </c>
      <c r="G2300" t="s">
        <v>24</v>
      </c>
      <c r="H2300">
        <v>224</v>
      </c>
      <c r="I2300" t="str">
        <f>"Locala Community Partnerships CIC"</f>
        <v>Locala Community Partnerships CIC</v>
      </c>
      <c r="J2300" t="str">
        <f>"Out of area GUM Private Contractors Agency And Contracted Services Sexual Health Public Health"</f>
        <v>Out of area GUM Private Contractors Agency And Contracted Services Sexual Health Public Health</v>
      </c>
    </row>
    <row r="2301" spans="1:10" x14ac:dyDescent="0.35">
      <c r="A2301" t="str">
        <f t="shared" si="408"/>
        <v>FEB</v>
      </c>
      <c r="B2301" t="str">
        <f t="shared" si="409"/>
        <v>21</v>
      </c>
      <c r="C2301" t="str">
        <f t="shared" si="403"/>
        <v>2020/21</v>
      </c>
      <c r="D2301" t="str">
        <f>"CE PH 014375"</f>
        <v>CE PH 014375</v>
      </c>
      <c r="E2301" t="str">
        <f t="shared" si="404"/>
        <v>CE</v>
      </c>
      <c r="F2301" t="s">
        <v>23</v>
      </c>
      <c r="G2301" t="s">
        <v>24</v>
      </c>
      <c r="H2301">
        <v>1943</v>
      </c>
      <c r="I2301" t="str">
        <f>"Locala Community Partnerships CIC"</f>
        <v>Locala Community Partnerships CIC</v>
      </c>
      <c r="J2301" t="str">
        <f>"Out of area GUM Private Contractors Agency And Contracted Services Sexual Health Public Health"</f>
        <v>Out of area GUM Private Contractors Agency And Contracted Services Sexual Health Public Health</v>
      </c>
    </row>
    <row r="2302" spans="1:10" x14ac:dyDescent="0.35">
      <c r="A2302" t="str">
        <f t="shared" si="408"/>
        <v>FEB</v>
      </c>
      <c r="B2302" t="str">
        <f t="shared" si="409"/>
        <v>21</v>
      </c>
      <c r="C2302" t="str">
        <f t="shared" si="403"/>
        <v>2020/21</v>
      </c>
      <c r="D2302" t="str">
        <f>"CE PH 014376"</f>
        <v>CE PH 014376</v>
      </c>
      <c r="E2302" t="str">
        <f t="shared" si="404"/>
        <v>CE</v>
      </c>
      <c r="F2302" t="s">
        <v>23</v>
      </c>
      <c r="G2302" t="s">
        <v>24</v>
      </c>
      <c r="H2302">
        <v>3263.98</v>
      </c>
      <c r="I2302" t="str">
        <f>"Locala Community Partnerships CIC"</f>
        <v>Locala Community Partnerships CIC</v>
      </c>
      <c r="J2302" t="str">
        <f>"IPC Miscellaneous Expenses Supplies And Services COVID19 - outbreak management Public Health"</f>
        <v>IPC Miscellaneous Expenses Supplies And Services COVID19 - outbreak management Public Health</v>
      </c>
    </row>
    <row r="2303" spans="1:10" x14ac:dyDescent="0.35">
      <c r="A2303" t="str">
        <f t="shared" si="408"/>
        <v>FEB</v>
      </c>
      <c r="B2303" t="str">
        <f t="shared" si="409"/>
        <v>21</v>
      </c>
      <c r="C2303" t="str">
        <f t="shared" si="403"/>
        <v>2020/21</v>
      </c>
      <c r="D2303" t="str">
        <f>"CE PH 014377"</f>
        <v>CE PH 014377</v>
      </c>
      <c r="E2303" t="str">
        <f t="shared" si="404"/>
        <v>CE</v>
      </c>
      <c r="F2303" t="s">
        <v>23</v>
      </c>
      <c r="G2303" t="s">
        <v>24</v>
      </c>
      <c r="H2303">
        <v>71267.649999999994</v>
      </c>
      <c r="I2303" t="str">
        <f>"Locala Community Partnerships CIC"</f>
        <v>Locala Community Partnerships CIC</v>
      </c>
      <c r="J2303" t="str">
        <f>"Public Health nursing Miscellaneous Expenses Supplies And Services COVID19 - outbreak management Public Health"</f>
        <v>Public Health nursing Miscellaneous Expenses Supplies And Services COVID19 - outbreak management Public Health</v>
      </c>
    </row>
    <row r="2304" spans="1:10" x14ac:dyDescent="0.35">
      <c r="A2304" t="str">
        <f t="shared" si="408"/>
        <v>FEB</v>
      </c>
      <c r="B2304" t="str">
        <f t="shared" si="409"/>
        <v>21</v>
      </c>
      <c r="C2304" t="str">
        <f t="shared" si="403"/>
        <v>2020/21</v>
      </c>
      <c r="D2304" t="str">
        <f>"CE PH 014358"</f>
        <v>CE PH 014358</v>
      </c>
      <c r="E2304" t="str">
        <f t="shared" si="404"/>
        <v>CE</v>
      </c>
      <c r="F2304" t="s">
        <v>23</v>
      </c>
      <c r="G2304" t="s">
        <v>24</v>
      </c>
      <c r="H2304">
        <v>600</v>
      </c>
      <c r="I2304" t="str">
        <f>"Christians Together Calderdale"</f>
        <v>Christians Together Calderdale</v>
      </c>
      <c r="J2304" t="str">
        <f>"Intelligence led projects Miscellaneous Expenses Supplies And Services COVID19 - outbreak management Public Health"</f>
        <v>Intelligence led projects Miscellaneous Expenses Supplies And Services COVID19 - outbreak management Public Health</v>
      </c>
    </row>
    <row r="2305" spans="1:10" x14ac:dyDescent="0.35">
      <c r="A2305" t="str">
        <f t="shared" si="408"/>
        <v>FEB</v>
      </c>
      <c r="B2305" t="str">
        <f t="shared" si="409"/>
        <v>21</v>
      </c>
      <c r="C2305" t="str">
        <f t="shared" si="403"/>
        <v>2020/21</v>
      </c>
      <c r="D2305" t="str">
        <f>"CE PH 014378"</f>
        <v>CE PH 014378</v>
      </c>
      <c r="E2305" t="str">
        <f t="shared" si="404"/>
        <v>CE</v>
      </c>
      <c r="F2305" t="s">
        <v>23</v>
      </c>
      <c r="G2305" t="s">
        <v>24</v>
      </c>
      <c r="H2305">
        <v>8002.74</v>
      </c>
      <c r="I2305" t="str">
        <f>"Locala Community Partnerships CIC"</f>
        <v>Locala Community Partnerships CIC</v>
      </c>
      <c r="J2305" t="str">
        <f>"Locala contract Private Contractors Agency And Contracted Services COVID19 - outbreak management Public Health"</f>
        <v>Locala contract Private Contractors Agency And Contracted Services COVID19 - outbreak management Public Health</v>
      </c>
    </row>
    <row r="2306" spans="1:10" x14ac:dyDescent="0.35">
      <c r="A2306" t="str">
        <f t="shared" si="408"/>
        <v>FEB</v>
      </c>
      <c r="B2306" t="str">
        <f t="shared" si="409"/>
        <v>21</v>
      </c>
      <c r="C2306" t="str">
        <f t="shared" ref="C2306:C2369" si="410">"2020/21"</f>
        <v>2020/21</v>
      </c>
      <c r="D2306" t="str">
        <f>"CE PH 014116"</f>
        <v>CE PH 014116</v>
      </c>
      <c r="E2306" t="str">
        <f t="shared" ref="E2306:E2369" si="411">LEFT(D2306,2)</f>
        <v>CE</v>
      </c>
      <c r="F2306" t="s">
        <v>23</v>
      </c>
      <c r="G2306" t="s">
        <v>24</v>
      </c>
      <c r="H2306">
        <v>292505.5</v>
      </c>
      <c r="I2306" t="str">
        <f>"Locala Community Partnerships CIC"</f>
        <v>Locala Community Partnerships CIC</v>
      </c>
      <c r="J2306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2307" spans="1:10" x14ac:dyDescent="0.35">
      <c r="A2307" t="str">
        <f t="shared" si="408"/>
        <v>FEB</v>
      </c>
      <c r="B2307" t="str">
        <f t="shared" si="409"/>
        <v>21</v>
      </c>
      <c r="C2307" t="str">
        <f t="shared" si="410"/>
        <v>2020/21</v>
      </c>
      <c r="D2307" t="str">
        <f>"CE PH 014096"</f>
        <v>CE PH 014096</v>
      </c>
      <c r="E2307" t="str">
        <f t="shared" si="411"/>
        <v>CE</v>
      </c>
      <c r="F2307" t="s">
        <v>23</v>
      </c>
      <c r="G2307" t="s">
        <v>24</v>
      </c>
      <c r="H2307">
        <v>22682</v>
      </c>
      <c r="I2307" t="str">
        <f>"Humankind"</f>
        <v>Humankind</v>
      </c>
      <c r="J2307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2308" spans="1:10" x14ac:dyDescent="0.35">
      <c r="A2308" t="str">
        <f t="shared" si="408"/>
        <v>FEB</v>
      </c>
      <c r="B2308" t="str">
        <f t="shared" si="409"/>
        <v>21</v>
      </c>
      <c r="C2308" t="str">
        <f t="shared" si="410"/>
        <v>2020/21</v>
      </c>
      <c r="D2308" t="str">
        <f>"CE PH 014361"</f>
        <v>CE PH 014361</v>
      </c>
      <c r="E2308" t="str">
        <f t="shared" si="411"/>
        <v>CE</v>
      </c>
      <c r="F2308" t="s">
        <v>23</v>
      </c>
      <c r="G2308" t="s">
        <v>24</v>
      </c>
      <c r="H2308">
        <v>1400</v>
      </c>
      <c r="I2308" t="str">
        <f>"North Halifax Partnership Ltd"</f>
        <v>North Halifax Partnership Ltd</v>
      </c>
      <c r="J2308" t="str">
        <f>"North Locality Miscellaneous Expenses Supplies And Services Active Staff (Sport England funded) Public Health"</f>
        <v>North Locality Miscellaneous Expenses Supplies And Services Active Staff (Sport England funded) Public Health</v>
      </c>
    </row>
    <row r="2309" spans="1:10" x14ac:dyDescent="0.35">
      <c r="A2309" t="str">
        <f t="shared" si="408"/>
        <v>FEB</v>
      </c>
      <c r="B2309" t="str">
        <f t="shared" si="409"/>
        <v>21</v>
      </c>
      <c r="C2309" t="str">
        <f t="shared" si="410"/>
        <v>2020/21</v>
      </c>
      <c r="D2309" t="str">
        <f>"CE PH 014360"</f>
        <v>CE PH 014360</v>
      </c>
      <c r="E2309" t="str">
        <f t="shared" si="411"/>
        <v>CE</v>
      </c>
      <c r="F2309" t="s">
        <v>23</v>
      </c>
      <c r="G2309" t="s">
        <v>24</v>
      </c>
      <c r="H2309">
        <v>2683.5</v>
      </c>
      <c r="I2309" t="str">
        <f>"The Brunswick Centre"</f>
        <v>The Brunswick Centre</v>
      </c>
      <c r="J2309" t="str">
        <f>"Additional Pathways Miscellaneous Expenses Supplies And Services Active Staff (Sport England funded) Public Health"</f>
        <v>Additional Pathways Miscellaneous Expenses Supplies And Services Active Staff (Sport England funded) Public Health</v>
      </c>
    </row>
    <row r="2310" spans="1:10" x14ac:dyDescent="0.35">
      <c r="A2310" t="str">
        <f t="shared" si="408"/>
        <v>FEB</v>
      </c>
      <c r="B2310" t="str">
        <f t="shared" si="409"/>
        <v>21</v>
      </c>
      <c r="C2310" t="str">
        <f t="shared" si="410"/>
        <v>2020/21</v>
      </c>
      <c r="D2310" t="str">
        <f>"SS FD 113782"</f>
        <v>SS FD 113782</v>
      </c>
      <c r="E2310" t="str">
        <f t="shared" si="411"/>
        <v>SS</v>
      </c>
      <c r="F2310" t="s">
        <v>25</v>
      </c>
      <c r="G2310" t="s">
        <v>22</v>
      </c>
      <c r="H2310">
        <v>-0.28999999999999998</v>
      </c>
      <c r="I2310" t="str">
        <f>"Carers Trust Mid Yorkshire"</f>
        <v>Carers Trust Mid Yorkshire</v>
      </c>
      <c r="J2310" t="str">
        <f t="shared" ref="J2310:J2316" si="412"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2311" spans="1:10" x14ac:dyDescent="0.35">
      <c r="A2311" t="str">
        <f t="shared" si="408"/>
        <v>FEB</v>
      </c>
      <c r="B2311" t="str">
        <f t="shared" si="409"/>
        <v>21</v>
      </c>
      <c r="C2311" t="str">
        <f t="shared" si="410"/>
        <v>2020/21</v>
      </c>
      <c r="D2311" t="str">
        <f>"SS FD 113782"</f>
        <v>SS FD 113782</v>
      </c>
      <c r="E2311" t="str">
        <f t="shared" si="411"/>
        <v>SS</v>
      </c>
      <c r="F2311" t="s">
        <v>25</v>
      </c>
      <c r="G2311" t="s">
        <v>22</v>
      </c>
      <c r="H2311">
        <v>198.05</v>
      </c>
      <c r="I2311" t="str">
        <f>"Carers Trust Mid Yorkshire"</f>
        <v>Carers Trust Mid Yorkshire</v>
      </c>
      <c r="J2311" t="str">
        <f t="shared" si="412"/>
        <v>Flexible Day Care - Voluntary Associations Voluntary Associations Agency And Contracted Services Purchased Day Opportunities Learning Disabiliti</v>
      </c>
    </row>
    <row r="2312" spans="1:10" x14ac:dyDescent="0.35">
      <c r="A2312" t="str">
        <f t="shared" si="408"/>
        <v>FEB</v>
      </c>
      <c r="B2312" t="str">
        <f t="shared" si="409"/>
        <v>21</v>
      </c>
      <c r="C2312" t="str">
        <f t="shared" si="410"/>
        <v>2020/21</v>
      </c>
      <c r="D2312" t="str">
        <f>"SS FD 113786"</f>
        <v>SS FD 113786</v>
      </c>
      <c r="E2312" t="str">
        <f t="shared" si="411"/>
        <v>SS</v>
      </c>
      <c r="F2312" t="s">
        <v>25</v>
      </c>
      <c r="G2312" t="s">
        <v>22</v>
      </c>
      <c r="H2312">
        <v>237.44</v>
      </c>
      <c r="I2312" t="str">
        <f>"Helping Hands (HX)"</f>
        <v>Helping Hands (HX)</v>
      </c>
      <c r="J2312" t="str">
        <f t="shared" si="412"/>
        <v>Flexible Day Care - Voluntary Associations Voluntary Associations Agency And Contracted Services Purchased Day Opportunities Learning Disabiliti</v>
      </c>
    </row>
    <row r="2313" spans="1:10" x14ac:dyDescent="0.35">
      <c r="A2313" t="str">
        <f t="shared" si="408"/>
        <v>FEB</v>
      </c>
      <c r="B2313" t="str">
        <f t="shared" si="409"/>
        <v>21</v>
      </c>
      <c r="C2313" t="str">
        <f t="shared" si="410"/>
        <v>2020/21</v>
      </c>
      <c r="D2313" t="str">
        <f>"SS FD 113790"</f>
        <v>SS FD 113790</v>
      </c>
      <c r="E2313" t="str">
        <f t="shared" si="411"/>
        <v>SS</v>
      </c>
      <c r="F2313" t="s">
        <v>25</v>
      </c>
      <c r="G2313" t="s">
        <v>22</v>
      </c>
      <c r="H2313">
        <v>3683.5</v>
      </c>
      <c r="I2313" t="str">
        <f>"The Hive (Halifax) Ltd"</f>
        <v>The Hive (Halifax) Ltd</v>
      </c>
      <c r="J2313" t="str">
        <f t="shared" si="412"/>
        <v>Flexible Day Care - Voluntary Associations Voluntary Associations Agency And Contracted Services Purchased Day Opportunities Learning Disabiliti</v>
      </c>
    </row>
    <row r="2314" spans="1:10" x14ac:dyDescent="0.35">
      <c r="A2314" t="str">
        <f t="shared" si="408"/>
        <v>FEB</v>
      </c>
      <c r="B2314" t="str">
        <f t="shared" si="409"/>
        <v>21</v>
      </c>
      <c r="C2314" t="str">
        <f t="shared" si="410"/>
        <v>2020/21</v>
      </c>
      <c r="D2314" t="str">
        <f>"SS FD 113790"</f>
        <v>SS FD 113790</v>
      </c>
      <c r="E2314" t="str">
        <f t="shared" si="411"/>
        <v>SS</v>
      </c>
      <c r="F2314" t="s">
        <v>25</v>
      </c>
      <c r="G2314" t="s">
        <v>22</v>
      </c>
      <c r="H2314">
        <v>-1.84</v>
      </c>
      <c r="I2314" t="str">
        <f>"The Hive (Halifax) Ltd"</f>
        <v>The Hive (Halifax) Ltd</v>
      </c>
      <c r="J2314" t="str">
        <f t="shared" si="412"/>
        <v>Flexible Day Care - Voluntary Associations Voluntary Associations Agency And Contracted Services Purchased Day Opportunities Learning Disabiliti</v>
      </c>
    </row>
    <row r="2315" spans="1:10" x14ac:dyDescent="0.35">
      <c r="A2315" t="str">
        <f t="shared" si="408"/>
        <v>FEB</v>
      </c>
      <c r="B2315" t="str">
        <f t="shared" si="409"/>
        <v>21</v>
      </c>
      <c r="C2315" t="str">
        <f t="shared" si="410"/>
        <v>2020/21</v>
      </c>
      <c r="D2315" t="str">
        <f>"SS FD 113780"</f>
        <v>SS FD 113780</v>
      </c>
      <c r="E2315" t="str">
        <f t="shared" si="411"/>
        <v>SS</v>
      </c>
      <c r="F2315" t="s">
        <v>25</v>
      </c>
      <c r="G2315" t="s">
        <v>22</v>
      </c>
      <c r="H2315">
        <v>82125.899999999994</v>
      </c>
      <c r="I2315" t="str">
        <f>"The Next Step Trust"</f>
        <v>The Next Step Trust</v>
      </c>
      <c r="J2315" t="str">
        <f t="shared" si="412"/>
        <v>Flexible Day Care - Voluntary Associations Voluntary Associations Agency And Contracted Services Purchased Day Opportunities Learning Disabiliti</v>
      </c>
    </row>
    <row r="2316" spans="1:10" x14ac:dyDescent="0.35">
      <c r="A2316" t="str">
        <f t="shared" si="408"/>
        <v>FEB</v>
      </c>
      <c r="B2316" t="str">
        <f t="shared" si="409"/>
        <v>21</v>
      </c>
      <c r="C2316" t="str">
        <f t="shared" si="410"/>
        <v>2020/21</v>
      </c>
      <c r="D2316" t="str">
        <f>"SS FD 113789"</f>
        <v>SS FD 113789</v>
      </c>
      <c r="E2316" t="str">
        <f t="shared" si="411"/>
        <v>SS</v>
      </c>
      <c r="F2316" t="s">
        <v>25</v>
      </c>
      <c r="G2316" t="s">
        <v>22</v>
      </c>
      <c r="H2316">
        <v>26306.55</v>
      </c>
      <c r="I2316" t="str">
        <f>"Pennine Magpie"</f>
        <v>Pennine Magpie</v>
      </c>
      <c r="J2316" t="str">
        <f t="shared" si="412"/>
        <v>Flexible Day Care - Voluntary Associations Voluntary Associations Agency And Contracted Services Purchased Day Opportunities Learning Disabiliti</v>
      </c>
    </row>
    <row r="2317" spans="1:10" x14ac:dyDescent="0.35">
      <c r="A2317" t="str">
        <f t="shared" si="408"/>
        <v>FEB</v>
      </c>
      <c r="B2317" t="str">
        <f t="shared" si="409"/>
        <v>21</v>
      </c>
      <c r="C2317" t="str">
        <f t="shared" si="410"/>
        <v>2020/21</v>
      </c>
      <c r="D2317" t="str">
        <f>"SS FD 114303"</f>
        <v>SS FD 114303</v>
      </c>
      <c r="E2317" t="str">
        <f t="shared" si="411"/>
        <v>SS</v>
      </c>
      <c r="F2317" t="s">
        <v>25</v>
      </c>
      <c r="G2317" t="s">
        <v>22</v>
      </c>
      <c r="H2317">
        <v>13617.96</v>
      </c>
      <c r="I2317" t="str">
        <f>"The Mayfield Trust"</f>
        <v>The Mayfield Trust</v>
      </c>
      <c r="J2317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2318" spans="1:10" x14ac:dyDescent="0.35">
      <c r="A2318" t="str">
        <f t="shared" si="408"/>
        <v>FEB</v>
      </c>
      <c r="B2318" t="str">
        <f t="shared" si="409"/>
        <v>21</v>
      </c>
      <c r="C2318" t="str">
        <f t="shared" si="410"/>
        <v>2020/21</v>
      </c>
      <c r="D2318" t="str">
        <f>"SS FD 114303"</f>
        <v>SS FD 114303</v>
      </c>
      <c r="E2318" t="str">
        <f t="shared" si="411"/>
        <v>SS</v>
      </c>
      <c r="F2318" t="s">
        <v>25</v>
      </c>
      <c r="G2318" t="s">
        <v>22</v>
      </c>
      <c r="H2318">
        <v>6283.67</v>
      </c>
      <c r="I2318" t="str">
        <f>"The Mayfield Trust"</f>
        <v>The Mayfield Trust</v>
      </c>
      <c r="J2318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2319" spans="1:10" x14ac:dyDescent="0.35">
      <c r="A2319" t="str">
        <f t="shared" si="408"/>
        <v>FEB</v>
      </c>
      <c r="B2319" t="str">
        <f t="shared" si="409"/>
        <v>21</v>
      </c>
      <c r="C2319" t="str">
        <f t="shared" si="410"/>
        <v>2020/21</v>
      </c>
      <c r="D2319" t="str">
        <f>"SS FD 114303"</f>
        <v>SS FD 114303</v>
      </c>
      <c r="E2319" t="str">
        <f t="shared" si="411"/>
        <v>SS</v>
      </c>
      <c r="F2319" t="s">
        <v>25</v>
      </c>
      <c r="G2319" t="s">
        <v>22</v>
      </c>
      <c r="H2319">
        <v>9607.9599999999991</v>
      </c>
      <c r="I2319" t="str">
        <f>"The Mayfield Trust"</f>
        <v>The Mayfield Trust</v>
      </c>
      <c r="J2319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2320" spans="1:10" x14ac:dyDescent="0.35">
      <c r="A2320" t="str">
        <f t="shared" si="408"/>
        <v>FEB</v>
      </c>
      <c r="B2320" t="str">
        <f t="shared" si="409"/>
        <v>21</v>
      </c>
      <c r="C2320" t="str">
        <f t="shared" si="410"/>
        <v>2020/21</v>
      </c>
      <c r="D2320" t="str">
        <f>"SS RE 117165"</f>
        <v>SS RE 117165</v>
      </c>
      <c r="E2320" t="str">
        <f t="shared" si="411"/>
        <v>SS</v>
      </c>
      <c r="F2320" t="s">
        <v>25</v>
      </c>
      <c r="G2320" t="s">
        <v>22</v>
      </c>
      <c r="H2320">
        <v>53.37</v>
      </c>
      <c r="I2320" t="str">
        <f>"Shared Lives Plus"</f>
        <v>Shared Lives Plus</v>
      </c>
      <c r="J2320" t="str">
        <f>"Equipment Materials &amp; Tools General Equipment Furniture And Materials Supplies And Services Shared Lives Adult Health &amp; Social Care"</f>
        <v>Equipment Materials &amp; Tools General Equipment Furniture And Materials Supplies And Services Shared Lives Adult Health &amp; Social Care</v>
      </c>
    </row>
    <row r="2321" spans="1:10" x14ac:dyDescent="0.35">
      <c r="A2321" t="str">
        <f t="shared" si="408"/>
        <v>FEB</v>
      </c>
      <c r="B2321" t="str">
        <f t="shared" si="409"/>
        <v>21</v>
      </c>
      <c r="C2321" t="str">
        <f t="shared" si="410"/>
        <v>2020/21</v>
      </c>
      <c r="D2321" t="str">
        <f>"SS RE 117165"</f>
        <v>SS RE 117165</v>
      </c>
      <c r="E2321" t="str">
        <f t="shared" si="411"/>
        <v>SS</v>
      </c>
      <c r="F2321" t="s">
        <v>25</v>
      </c>
      <c r="G2321" t="s">
        <v>22</v>
      </c>
      <c r="H2321">
        <v>99.13</v>
      </c>
      <c r="I2321" t="str">
        <f>"Shared Lives Plus"</f>
        <v>Shared Lives Plus</v>
      </c>
      <c r="J2321" t="str">
        <f>"Equipment Materials &amp; Tools General Equipment Furniture And Materials Supplies And Services Shared Lives Adult Health &amp; Social Care"</f>
        <v>Equipment Materials &amp; Tools General Equipment Furniture And Materials Supplies And Services Shared Lives Adult Health &amp; Social Care</v>
      </c>
    </row>
    <row r="2322" spans="1:10" x14ac:dyDescent="0.35">
      <c r="A2322" t="str">
        <f t="shared" si="408"/>
        <v>FEB</v>
      </c>
      <c r="B2322" t="str">
        <f t="shared" si="409"/>
        <v>21</v>
      </c>
      <c r="C2322" t="str">
        <f t="shared" si="410"/>
        <v>2020/21</v>
      </c>
      <c r="D2322" t="str">
        <f>"SS RE 117165"</f>
        <v>SS RE 117165</v>
      </c>
      <c r="E2322" t="str">
        <f t="shared" si="411"/>
        <v>SS</v>
      </c>
      <c r="F2322" t="s">
        <v>25</v>
      </c>
      <c r="G2322" t="s">
        <v>22</v>
      </c>
      <c r="H2322">
        <v>21.78</v>
      </c>
      <c r="I2322" t="str">
        <f>"Shared Lives Plus"</f>
        <v>Shared Lives Plus</v>
      </c>
      <c r="J2322" t="str">
        <f>"Equipment Materials &amp; Tools General Equipment Furniture And Materials Supplies And Services Shared Lives Adult Health &amp; Social Care"</f>
        <v>Equipment Materials &amp; Tools General Equipment Furniture And Materials Supplies And Services Shared Lives Adult Health &amp; Social Care</v>
      </c>
    </row>
    <row r="2323" spans="1:10" x14ac:dyDescent="0.35">
      <c r="A2323" t="str">
        <f t="shared" si="408"/>
        <v>FEB</v>
      </c>
      <c r="B2323" t="str">
        <f t="shared" si="409"/>
        <v>21</v>
      </c>
      <c r="C2323" t="str">
        <f t="shared" si="410"/>
        <v>2020/21</v>
      </c>
      <c r="D2323" t="str">
        <f>"SS RE 117165"</f>
        <v>SS RE 117165</v>
      </c>
      <c r="E2323" t="str">
        <f t="shared" si="411"/>
        <v>SS</v>
      </c>
      <c r="F2323" t="s">
        <v>25</v>
      </c>
      <c r="G2323" t="s">
        <v>22</v>
      </c>
      <c r="H2323">
        <v>40.44</v>
      </c>
      <c r="I2323" t="str">
        <f>"Shared Lives Plus"</f>
        <v>Shared Lives Plus</v>
      </c>
      <c r="J2323" t="str">
        <f>"Equipment Materials &amp; Tools General Equipment Furniture And Materials Supplies And Services Shared Lives Adult Health &amp; Social Care"</f>
        <v>Equipment Materials &amp; Tools General Equipment Furniture And Materials Supplies And Services Shared Lives Adult Health &amp; Social Care</v>
      </c>
    </row>
    <row r="2324" spans="1:10" x14ac:dyDescent="0.35">
      <c r="A2324" t="str">
        <f t="shared" si="408"/>
        <v>FEB</v>
      </c>
      <c r="B2324" t="str">
        <f t="shared" si="409"/>
        <v>21</v>
      </c>
      <c r="C2324" t="str">
        <f t="shared" si="410"/>
        <v>2020/21</v>
      </c>
      <c r="D2324" t="str">
        <f>"HS TA 017106"</f>
        <v>HS TA 017106</v>
      </c>
      <c r="E2324" t="str">
        <f t="shared" si="411"/>
        <v>HS</v>
      </c>
      <c r="F2324" t="s">
        <v>26</v>
      </c>
      <c r="G2324" t="s">
        <v>18</v>
      </c>
      <c r="H2324">
        <v>50000</v>
      </c>
      <c r="I2324" t="str">
        <f>"Christians Together Calderdale"</f>
        <v>Christians Together Calderdale</v>
      </c>
      <c r="J2324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2325" spans="1:10" x14ac:dyDescent="0.35">
      <c r="A2325" t="str">
        <f t="shared" si="408"/>
        <v>FEB</v>
      </c>
      <c r="B2325" t="str">
        <f t="shared" si="409"/>
        <v>21</v>
      </c>
      <c r="C2325" t="str">
        <f t="shared" si="410"/>
        <v>2020/21</v>
      </c>
      <c r="D2325" t="str">
        <f>"TF CI 000753"</f>
        <v>TF CI 000753</v>
      </c>
      <c r="E2325" t="str">
        <f t="shared" si="411"/>
        <v>TF</v>
      </c>
      <c r="F2325" t="s">
        <v>27</v>
      </c>
      <c r="G2325" t="s">
        <v>18</v>
      </c>
      <c r="H2325">
        <v>22500</v>
      </c>
      <c r="I2325" t="str">
        <f>"Community Foundation for Calderdale"</f>
        <v>Community Foundation for Calderdale</v>
      </c>
      <c r="J2325" t="str">
        <f>"Rent Rent And Rates Premises And Related Expenses Halifax Customer First - 19 Horton Street Corporate Asset and Facilities Management"</f>
        <v>Rent Rent And Rates Premises And Related Expenses Halifax Customer First - 19 Horton Street Corporate Asset and Facilities Management</v>
      </c>
    </row>
    <row r="2326" spans="1:10" x14ac:dyDescent="0.35">
      <c r="A2326" t="str">
        <f t="shared" si="408"/>
        <v>FEB</v>
      </c>
      <c r="B2326" t="str">
        <f t="shared" si="409"/>
        <v>21</v>
      </c>
      <c r="C2326" t="str">
        <f t="shared" si="410"/>
        <v>2020/21</v>
      </c>
      <c r="D2326" t="str">
        <f>"CA FM 006968"</f>
        <v>CA FM 006968</v>
      </c>
      <c r="E2326" t="str">
        <f t="shared" si="411"/>
        <v>CA</v>
      </c>
      <c r="F2326" t="s">
        <v>27</v>
      </c>
      <c r="G2326" t="s">
        <v>18</v>
      </c>
      <c r="H2326">
        <v>1758.62</v>
      </c>
      <c r="I2326" t="str">
        <f>"Community Foundation for Calderdale"</f>
        <v>Community Foundation for Calderdale</v>
      </c>
      <c r="J2326" t="str">
        <f>"Insurance - External Premises Insurance Premises And Related Expenses Halifax Customer First - 19 Horton Street Corporate Asset and Facilities M"</f>
        <v>Insurance - External Premises Insurance Premises And Related Expenses Halifax Customer First - 19 Horton Street Corporate Asset and Facilities M</v>
      </c>
    </row>
    <row r="2327" spans="1:10" x14ac:dyDescent="0.35">
      <c r="A2327" t="str">
        <f t="shared" si="408"/>
        <v>FEB</v>
      </c>
      <c r="B2327" t="str">
        <f t="shared" si="409"/>
        <v>21</v>
      </c>
      <c r="C2327" t="str">
        <f t="shared" si="410"/>
        <v>2020/21</v>
      </c>
      <c r="D2327" t="str">
        <f>"EG TN 059774"</f>
        <v>EG TN 059774</v>
      </c>
      <c r="E2327" t="str">
        <f t="shared" si="411"/>
        <v>EG</v>
      </c>
      <c r="F2327" t="s">
        <v>36</v>
      </c>
      <c r="G2327" t="s">
        <v>18</v>
      </c>
      <c r="H2327">
        <v>25245.26</v>
      </c>
      <c r="I2327" t="str">
        <f>"Canal &amp; River Trust (British Waterways)"</f>
        <v>Canal &amp; River Trust (British Waterways)</v>
      </c>
      <c r="J2327" t="str">
        <f>"Rochdale Canal Ph 2 Other General Package Programme Package Programme Highways &amp; Engineering Services - Capital"</f>
        <v>Rochdale Canal Ph 2 Other General Package Programme Package Programme Highways &amp; Engineering Services - Capital</v>
      </c>
    </row>
    <row r="2328" spans="1:10" x14ac:dyDescent="0.35">
      <c r="A2328" t="str">
        <f t="shared" si="408"/>
        <v>FEB</v>
      </c>
      <c r="B2328" t="str">
        <f t="shared" si="409"/>
        <v>21</v>
      </c>
      <c r="C2328" t="str">
        <f t="shared" si="410"/>
        <v>2020/21</v>
      </c>
      <c r="D2328" t="str">
        <f>"SC EY 218324"</f>
        <v>SC EY 218324</v>
      </c>
      <c r="E2328" t="str">
        <f t="shared" si="411"/>
        <v>SC</v>
      </c>
      <c r="F2328" t="s">
        <v>29</v>
      </c>
      <c r="G2328" t="s">
        <v>30</v>
      </c>
      <c r="H2328">
        <v>1020</v>
      </c>
      <c r="I2328" t="str">
        <f>"Halifax Opportunities Trust"</f>
        <v>Halifax Opportunities Trust</v>
      </c>
      <c r="J2328" t="str">
        <f>"Misc Expenses Miscellaneous Expenses Supplies And Services Specialist Inclusion Service (DSG) Children and Young People's Serv - Central Depts."</f>
        <v>Misc Expenses Miscellaneous Expenses Supplies And Services Specialist Inclusion Service (DSG) Children and Young People's Serv - Central Depts.</v>
      </c>
    </row>
    <row r="2329" spans="1:10" x14ac:dyDescent="0.35">
      <c r="A2329" t="str">
        <f t="shared" si="408"/>
        <v>FEB</v>
      </c>
      <c r="B2329" t="str">
        <f t="shared" si="409"/>
        <v>21</v>
      </c>
      <c r="C2329" t="str">
        <f t="shared" si="410"/>
        <v>2020/21</v>
      </c>
      <c r="D2329" t="str">
        <f>"SC SS 218404"</f>
        <v>SC SS 218404</v>
      </c>
      <c r="E2329" t="str">
        <f t="shared" si="411"/>
        <v>SC</v>
      </c>
      <c r="F2329" t="s">
        <v>29</v>
      </c>
      <c r="G2329" t="s">
        <v>30</v>
      </c>
      <c r="H2329">
        <v>5320</v>
      </c>
      <c r="I2329" t="str">
        <f>"Seashell Trust"</f>
        <v>Seashell Trust</v>
      </c>
      <c r="J2329" t="str">
        <f>"Top Up - Post 16 Contributions To Funds And Provisions Supplies And Services EHC Support Children and Young People's Serv - Central Depts."</f>
        <v>Top Up - Post 16 Contributions To Funds And Provisions Supplies And Services EHC Support Children and Young People's Serv - Central Depts.</v>
      </c>
    </row>
    <row r="2330" spans="1:10" x14ac:dyDescent="0.35">
      <c r="A2330" t="str">
        <f t="shared" si="408"/>
        <v>FEB</v>
      </c>
      <c r="B2330" t="str">
        <f t="shared" si="409"/>
        <v>21</v>
      </c>
      <c r="C2330" t="str">
        <f t="shared" si="410"/>
        <v>2020/21</v>
      </c>
      <c r="D2330" t="str">
        <f>"SC SS 218404"</f>
        <v>SC SS 218404</v>
      </c>
      <c r="E2330" t="str">
        <f t="shared" si="411"/>
        <v>SC</v>
      </c>
      <c r="F2330" t="s">
        <v>29</v>
      </c>
      <c r="G2330" t="s">
        <v>30</v>
      </c>
      <c r="H2330">
        <v>10640</v>
      </c>
      <c r="I2330" t="str">
        <f>"Seashell Trust"</f>
        <v>Seashell Trust</v>
      </c>
      <c r="J2330" t="str">
        <f>"Top Up - Post 16 Contributions To Funds And Provisions Supplies And Services EHC Support Children and Young People's Serv - Central Depts."</f>
        <v>Top Up - Post 16 Contributions To Funds And Provisions Supplies And Services EHC Support Children and Young People's Serv - Central Depts.</v>
      </c>
    </row>
    <row r="2331" spans="1:10" x14ac:dyDescent="0.35">
      <c r="A2331" t="str">
        <f t="shared" si="408"/>
        <v>FEB</v>
      </c>
      <c r="B2331" t="str">
        <f t="shared" si="409"/>
        <v>21</v>
      </c>
      <c r="C2331" t="str">
        <f t="shared" si="410"/>
        <v>2020/21</v>
      </c>
      <c r="D2331" t="str">
        <f>"SC SS 218404"</f>
        <v>SC SS 218404</v>
      </c>
      <c r="E2331" t="str">
        <f t="shared" si="411"/>
        <v>SC</v>
      </c>
      <c r="F2331" t="s">
        <v>29</v>
      </c>
      <c r="G2331" t="s">
        <v>30</v>
      </c>
      <c r="H2331">
        <v>6334</v>
      </c>
      <c r="I2331" t="str">
        <f>"Seashell Trust"</f>
        <v>Seashell Trust</v>
      </c>
      <c r="J2331" t="str">
        <f>"Top Up - Post 16 Contributions To Funds And Provisions Supplies And Services EHC Support Children and Young People's Serv - Central Depts."</f>
        <v>Top Up - Post 16 Contributions To Funds And Provisions Supplies And Services EHC Support Children and Young People's Serv - Central Depts.</v>
      </c>
    </row>
    <row r="2332" spans="1:10" x14ac:dyDescent="0.35">
      <c r="A2332" t="str">
        <f t="shared" si="408"/>
        <v>FEB</v>
      </c>
      <c r="B2332" t="str">
        <f t="shared" si="409"/>
        <v>21</v>
      </c>
      <c r="C2332" t="str">
        <f t="shared" si="410"/>
        <v>2020/21</v>
      </c>
      <c r="D2332" t="str">
        <f>"SC SS 218404"</f>
        <v>SC SS 218404</v>
      </c>
      <c r="E2332" t="str">
        <f t="shared" si="411"/>
        <v>SC</v>
      </c>
      <c r="F2332" t="s">
        <v>29</v>
      </c>
      <c r="G2332" t="s">
        <v>30</v>
      </c>
      <c r="H2332">
        <v>6333</v>
      </c>
      <c r="I2332" t="str">
        <f>"Seashell Trust"</f>
        <v>Seashell Trust</v>
      </c>
      <c r="J2332" t="str">
        <f>"Top Up - Post 16 Contributions To Funds And Provisions Supplies And Services EHC Support Children and Young People's Serv - Central Depts."</f>
        <v>Top Up - Post 16 Contributions To Funds And Provisions Supplies And Services EHC Support Children and Young People's Serv - Central Depts.</v>
      </c>
    </row>
    <row r="2333" spans="1:10" x14ac:dyDescent="0.35">
      <c r="A2333" t="str">
        <f t="shared" si="408"/>
        <v>FEB</v>
      </c>
      <c r="B2333" t="str">
        <f t="shared" si="409"/>
        <v>21</v>
      </c>
      <c r="C2333" t="str">
        <f t="shared" si="410"/>
        <v>2020/21</v>
      </c>
      <c r="D2333" t="str">
        <f>"SC EY 218471"</f>
        <v>SC EY 218471</v>
      </c>
      <c r="E2333" t="str">
        <f t="shared" si="411"/>
        <v>SC</v>
      </c>
      <c r="F2333" t="s">
        <v>32</v>
      </c>
      <c r="G2333" t="s">
        <v>30</v>
      </c>
      <c r="H2333">
        <v>540</v>
      </c>
      <c r="I2333" t="str">
        <f>"Creations Community Childrens Centre"</f>
        <v>Creations Community Childrens Centre</v>
      </c>
      <c r="J2333" t="str">
        <f t="shared" ref="J2333:J2338" si="413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2334" spans="1:10" x14ac:dyDescent="0.35">
      <c r="A2334" t="str">
        <f t="shared" si="408"/>
        <v>FEB</v>
      </c>
      <c r="B2334" t="str">
        <f t="shared" si="409"/>
        <v>21</v>
      </c>
      <c r="C2334" t="str">
        <f t="shared" si="410"/>
        <v>2020/21</v>
      </c>
      <c r="D2334" t="str">
        <f>"SC EY 218474"</f>
        <v>SC EY 218474</v>
      </c>
      <c r="E2334" t="str">
        <f t="shared" si="411"/>
        <v>SC</v>
      </c>
      <c r="F2334" t="s">
        <v>32</v>
      </c>
      <c r="G2334" t="s">
        <v>30</v>
      </c>
      <c r="H2334">
        <v>832</v>
      </c>
      <c r="I2334" t="str">
        <f>"Innovations Children's Centre"</f>
        <v>Innovations Children's Centre</v>
      </c>
      <c r="J2334" t="str">
        <f t="shared" si="413"/>
        <v>Access to Support provision Other Agency And Contracted Services Agency And Contracted Services Early Intervention Childcare Funding Childrens S</v>
      </c>
    </row>
    <row r="2335" spans="1:10" x14ac:dyDescent="0.35">
      <c r="A2335" t="str">
        <f t="shared" si="408"/>
        <v>FEB</v>
      </c>
      <c r="B2335" t="str">
        <f t="shared" si="409"/>
        <v>21</v>
      </c>
      <c r="C2335" t="str">
        <f t="shared" si="410"/>
        <v>2020/21</v>
      </c>
      <c r="D2335" t="str">
        <f>"SC EY 218475"</f>
        <v>SC EY 218475</v>
      </c>
      <c r="E2335" t="str">
        <f t="shared" si="411"/>
        <v>SC</v>
      </c>
      <c r="F2335" t="s">
        <v>32</v>
      </c>
      <c r="G2335" t="s">
        <v>30</v>
      </c>
      <c r="H2335">
        <v>1350</v>
      </c>
      <c r="I2335" t="str">
        <f>"Jubilee Children's Centre"</f>
        <v>Jubilee Children's Centre</v>
      </c>
      <c r="J2335" t="str">
        <f t="shared" si="413"/>
        <v>Access to Support provision Other Agency And Contracted Services Agency And Contracted Services Early Intervention Childcare Funding Childrens S</v>
      </c>
    </row>
    <row r="2336" spans="1:10" x14ac:dyDescent="0.35">
      <c r="A2336" t="str">
        <f t="shared" si="408"/>
        <v>FEB</v>
      </c>
      <c r="B2336" t="str">
        <f t="shared" si="409"/>
        <v>21</v>
      </c>
      <c r="C2336" t="str">
        <f t="shared" si="410"/>
        <v>2020/21</v>
      </c>
      <c r="D2336" t="str">
        <f>"SC EY 218470"</f>
        <v>SC EY 218470</v>
      </c>
      <c r="E2336" t="str">
        <f t="shared" si="411"/>
        <v>SC</v>
      </c>
      <c r="F2336" t="s">
        <v>32</v>
      </c>
      <c r="G2336" t="s">
        <v>30</v>
      </c>
      <c r="H2336">
        <v>416</v>
      </c>
      <c r="I2336" t="str">
        <f>"Ash Green Childrens Centre"</f>
        <v>Ash Green Childrens Centre</v>
      </c>
      <c r="J2336" t="str">
        <f t="shared" si="413"/>
        <v>Access to Support provision Other Agency And Contracted Services Agency And Contracted Services Early Intervention Childcare Funding Childrens S</v>
      </c>
    </row>
    <row r="2337" spans="1:10" x14ac:dyDescent="0.35">
      <c r="A2337" t="str">
        <f t="shared" ref="A2337:A2400" si="414">"FEB"</f>
        <v>FEB</v>
      </c>
      <c r="B2337" t="str">
        <f t="shared" si="409"/>
        <v>21</v>
      </c>
      <c r="C2337" t="str">
        <f t="shared" si="410"/>
        <v>2020/21</v>
      </c>
      <c r="D2337" t="str">
        <f>"SC EY 218476"</f>
        <v>SC EY 218476</v>
      </c>
      <c r="E2337" t="str">
        <f t="shared" si="411"/>
        <v>SC</v>
      </c>
      <c r="F2337" t="s">
        <v>32</v>
      </c>
      <c r="G2337" t="s">
        <v>30</v>
      </c>
      <c r="H2337">
        <v>1286</v>
      </c>
      <c r="I2337" t="str">
        <f>"Kevin Pearce Childrens Centre"</f>
        <v>Kevin Pearce Childrens Centre</v>
      </c>
      <c r="J2337" t="str">
        <f t="shared" si="413"/>
        <v>Access to Support provision Other Agency And Contracted Services Agency And Contracted Services Early Intervention Childcare Funding Childrens S</v>
      </c>
    </row>
    <row r="2338" spans="1:10" x14ac:dyDescent="0.35">
      <c r="A2338" t="str">
        <f t="shared" si="414"/>
        <v>FEB</v>
      </c>
      <c r="B2338" t="str">
        <f t="shared" si="409"/>
        <v>21</v>
      </c>
      <c r="C2338" t="str">
        <f t="shared" si="410"/>
        <v>2020/21</v>
      </c>
      <c r="D2338" t="str">
        <f>"SC EY 218481"</f>
        <v>SC EY 218481</v>
      </c>
      <c r="E2338" t="str">
        <f t="shared" si="411"/>
        <v>SC</v>
      </c>
      <c r="F2338" t="s">
        <v>32</v>
      </c>
      <c r="G2338" t="s">
        <v>30</v>
      </c>
      <c r="H2338">
        <v>220</v>
      </c>
      <c r="I2338" t="str">
        <f>"Wellholme Children's Centre"</f>
        <v>Wellholme Children's Centre</v>
      </c>
      <c r="J2338" t="str">
        <f t="shared" si="413"/>
        <v>Access to Support provision Other Agency And Contracted Services Agency And Contracted Services Early Intervention Childcare Funding Childrens S</v>
      </c>
    </row>
    <row r="2339" spans="1:10" x14ac:dyDescent="0.35">
      <c r="A2339" t="str">
        <f t="shared" si="414"/>
        <v>FEB</v>
      </c>
      <c r="B2339" t="str">
        <f t="shared" si="409"/>
        <v>21</v>
      </c>
      <c r="C2339" t="str">
        <f t="shared" si="410"/>
        <v>2020/21</v>
      </c>
      <c r="D2339" t="str">
        <f>"SC EY 218493"</f>
        <v>SC EY 218493</v>
      </c>
      <c r="E2339" t="str">
        <f t="shared" si="411"/>
        <v>SC</v>
      </c>
      <c r="F2339" t="s">
        <v>32</v>
      </c>
      <c r="G2339" t="s">
        <v>30</v>
      </c>
      <c r="H2339">
        <v>324</v>
      </c>
      <c r="I2339" t="str">
        <f>"Family and Childcare Trust"</f>
        <v>Family and Childcare Trust</v>
      </c>
      <c r="J2339" t="str">
        <f>"CIS Running Costs Expenses Supplies And Services Early Years &amp; Childcare Sufficiency Team Childrens Services Unit"</f>
        <v>CIS Running Costs Expenses Supplies And Services Early Years &amp; Childcare Sufficiency Team Childrens Services Unit</v>
      </c>
    </row>
    <row r="2340" spans="1:10" x14ac:dyDescent="0.35">
      <c r="A2340" t="str">
        <f t="shared" si="414"/>
        <v>FEB</v>
      </c>
      <c r="B2340" t="str">
        <f t="shared" si="409"/>
        <v>21</v>
      </c>
      <c r="C2340" t="str">
        <f t="shared" si="410"/>
        <v>2020/21</v>
      </c>
      <c r="D2340" t="str">
        <f>"SC EY 218547"</f>
        <v>SC EY 218547</v>
      </c>
      <c r="E2340" t="str">
        <f t="shared" si="411"/>
        <v>SC</v>
      </c>
      <c r="F2340" t="s">
        <v>32</v>
      </c>
      <c r="G2340" t="s">
        <v>30</v>
      </c>
      <c r="H2340">
        <v>621</v>
      </c>
      <c r="I2340" t="str">
        <f>"Creations Community Childrens Centre"</f>
        <v>Creations Community Childrens Centre</v>
      </c>
      <c r="J2340" t="str">
        <f t="shared" ref="J2340:J2345" si="415"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2341" spans="1:10" x14ac:dyDescent="0.35">
      <c r="A2341" t="str">
        <f t="shared" si="414"/>
        <v>FEB</v>
      </c>
      <c r="B2341" t="str">
        <f t="shared" si="409"/>
        <v>21</v>
      </c>
      <c r="C2341" t="str">
        <f t="shared" si="410"/>
        <v>2020/21</v>
      </c>
      <c r="D2341" t="str">
        <f>"SC EY 218547"</f>
        <v>SC EY 218547</v>
      </c>
      <c r="E2341" t="str">
        <f t="shared" si="411"/>
        <v>SC</v>
      </c>
      <c r="F2341" t="s">
        <v>32</v>
      </c>
      <c r="G2341" t="s">
        <v>30</v>
      </c>
      <c r="H2341">
        <v>621</v>
      </c>
      <c r="I2341" t="str">
        <f>"Creations Community Childrens Centre"</f>
        <v>Creations Community Childrens Centre</v>
      </c>
      <c r="J2341" t="str">
        <f t="shared" si="415"/>
        <v>3/4 year old inclusion support (DSG) Grants And Subscriptions Supplies And Services D C A T C H Childrens Services Unit</v>
      </c>
    </row>
    <row r="2342" spans="1:10" x14ac:dyDescent="0.35">
      <c r="A2342" t="str">
        <f t="shared" si="414"/>
        <v>FEB</v>
      </c>
      <c r="B2342" t="str">
        <f t="shared" si="409"/>
        <v>21</v>
      </c>
      <c r="C2342" t="str">
        <f t="shared" si="410"/>
        <v>2020/21</v>
      </c>
      <c r="D2342" t="str">
        <f>"SC EY 218446"</f>
        <v>SC EY 218446</v>
      </c>
      <c r="E2342" t="str">
        <f t="shared" si="411"/>
        <v>SC</v>
      </c>
      <c r="F2342" t="s">
        <v>32</v>
      </c>
      <c r="G2342" t="s">
        <v>30</v>
      </c>
      <c r="H2342">
        <v>724.5</v>
      </c>
      <c r="I2342" t="str">
        <f>"Jubilee Children's Centre"</f>
        <v>Jubilee Children's Centre</v>
      </c>
      <c r="J2342" t="str">
        <f t="shared" si="415"/>
        <v>3/4 year old inclusion support (DSG) Grants And Subscriptions Supplies And Services D C A T C H Childrens Services Unit</v>
      </c>
    </row>
    <row r="2343" spans="1:10" x14ac:dyDescent="0.35">
      <c r="A2343" t="str">
        <f t="shared" si="414"/>
        <v>FEB</v>
      </c>
      <c r="B2343" t="str">
        <f t="shared" si="409"/>
        <v>21</v>
      </c>
      <c r="C2343" t="str">
        <f t="shared" si="410"/>
        <v>2020/21</v>
      </c>
      <c r="D2343" t="str">
        <f>"SC EY 218546"</f>
        <v>SC EY 218546</v>
      </c>
      <c r="E2343" t="str">
        <f t="shared" si="411"/>
        <v>SC</v>
      </c>
      <c r="F2343" t="s">
        <v>32</v>
      </c>
      <c r="G2343" t="s">
        <v>30</v>
      </c>
      <c r="H2343">
        <v>621</v>
      </c>
      <c r="I2343" t="str">
        <f>"Ash Green Childrens Centre"</f>
        <v>Ash Green Childrens Centre</v>
      </c>
      <c r="J2343" t="str">
        <f t="shared" si="415"/>
        <v>3/4 year old inclusion support (DSG) Grants And Subscriptions Supplies And Services D C A T C H Childrens Services Unit</v>
      </c>
    </row>
    <row r="2344" spans="1:10" x14ac:dyDescent="0.35">
      <c r="A2344" t="str">
        <f t="shared" si="414"/>
        <v>FEB</v>
      </c>
      <c r="B2344" t="str">
        <f t="shared" si="409"/>
        <v>21</v>
      </c>
      <c r="C2344" t="str">
        <f t="shared" si="410"/>
        <v>2020/21</v>
      </c>
      <c r="D2344" t="str">
        <f>"SC EY 218546"</f>
        <v>SC EY 218546</v>
      </c>
      <c r="E2344" t="str">
        <f t="shared" si="411"/>
        <v>SC</v>
      </c>
      <c r="F2344" t="s">
        <v>32</v>
      </c>
      <c r="G2344" t="s">
        <v>30</v>
      </c>
      <c r="H2344">
        <v>621</v>
      </c>
      <c r="I2344" t="str">
        <f>"Ash Green Childrens Centre"</f>
        <v>Ash Green Childrens Centre</v>
      </c>
      <c r="J2344" t="str">
        <f t="shared" si="415"/>
        <v>3/4 year old inclusion support (DSG) Grants And Subscriptions Supplies And Services D C A T C H Childrens Services Unit</v>
      </c>
    </row>
    <row r="2345" spans="1:10" x14ac:dyDescent="0.35">
      <c r="A2345" t="str">
        <f t="shared" si="414"/>
        <v>FEB</v>
      </c>
      <c r="B2345" t="str">
        <f t="shared" si="409"/>
        <v>21</v>
      </c>
      <c r="C2345" t="str">
        <f t="shared" si="410"/>
        <v>2020/21</v>
      </c>
      <c r="D2345" t="str">
        <f>"SC EY 218448"</f>
        <v>SC EY 218448</v>
      </c>
      <c r="E2345" t="str">
        <f t="shared" si="411"/>
        <v>SC</v>
      </c>
      <c r="F2345" t="s">
        <v>32</v>
      </c>
      <c r="G2345" t="s">
        <v>30</v>
      </c>
      <c r="H2345">
        <v>913.5</v>
      </c>
      <c r="I2345" t="str">
        <f>"Todmorden Children's Centre"</f>
        <v>Todmorden Children's Centre</v>
      </c>
      <c r="J2345" t="str">
        <f t="shared" si="415"/>
        <v>3/4 year old inclusion support (DSG) Grants And Subscriptions Supplies And Services D C A T C H Childrens Services Unit</v>
      </c>
    </row>
    <row r="2346" spans="1:10" x14ac:dyDescent="0.35">
      <c r="A2346" t="str">
        <f t="shared" si="414"/>
        <v>FEB</v>
      </c>
      <c r="B2346" t="str">
        <f t="shared" si="409"/>
        <v>21</v>
      </c>
      <c r="C2346" t="str">
        <f t="shared" si="410"/>
        <v>2020/21</v>
      </c>
      <c r="D2346" t="str">
        <f>"SC CM 218516"</f>
        <v>SC CM 218516</v>
      </c>
      <c r="E2346" t="str">
        <f t="shared" si="411"/>
        <v>SC</v>
      </c>
      <c r="F2346" t="s">
        <v>33</v>
      </c>
      <c r="G2346" t="s">
        <v>30</v>
      </c>
      <c r="H2346">
        <v>94</v>
      </c>
      <c r="I2346" t="str">
        <f>"Jubilee Children's Centre"</f>
        <v>Jubilee Children's Centre</v>
      </c>
      <c r="J2346" t="str">
        <f>"Nursery Fees Services Supplies And Services Central and West &amp; Upper Valley CIN/CP (non staff) Childrens Care Services"</f>
        <v>Nursery Fees Services Supplies And Services Central and West &amp; Upper Valley CIN/CP (non staff) Childrens Care Services</v>
      </c>
    </row>
    <row r="2347" spans="1:10" x14ac:dyDescent="0.35">
      <c r="A2347" t="str">
        <f t="shared" si="414"/>
        <v>FEB</v>
      </c>
      <c r="B2347" t="str">
        <f t="shared" si="409"/>
        <v>21</v>
      </c>
      <c r="C2347" t="str">
        <f t="shared" si="410"/>
        <v>2020/21</v>
      </c>
      <c r="D2347" t="str">
        <f>"SC CM 218516"</f>
        <v>SC CM 218516</v>
      </c>
      <c r="E2347" t="str">
        <f t="shared" si="411"/>
        <v>SC</v>
      </c>
      <c r="F2347" t="s">
        <v>33</v>
      </c>
      <c r="G2347" t="s">
        <v>30</v>
      </c>
      <c r="H2347">
        <v>94</v>
      </c>
      <c r="I2347" t="str">
        <f>"Jubilee Children's Centre"</f>
        <v>Jubilee Children's Centre</v>
      </c>
      <c r="J2347" t="str">
        <f>"Nursery Fees Services Supplies And Services Central and West &amp; Upper Valley CIN/CP (non staff) Childrens Care Services"</f>
        <v>Nursery Fees Services Supplies And Services Central and West &amp; Upper Valley CIN/CP (non staff) Childrens Care Services</v>
      </c>
    </row>
    <row r="2348" spans="1:10" x14ac:dyDescent="0.35">
      <c r="A2348" t="str">
        <f t="shared" si="414"/>
        <v>FEB</v>
      </c>
      <c r="B2348" t="str">
        <f t="shared" si="409"/>
        <v>21</v>
      </c>
      <c r="C2348" t="str">
        <f t="shared" si="410"/>
        <v>2020/21</v>
      </c>
      <c r="D2348" t="str">
        <f>"SC FS 218497"</f>
        <v>SC FS 218497</v>
      </c>
      <c r="E2348" t="str">
        <f t="shared" si="411"/>
        <v>SC</v>
      </c>
      <c r="F2348" t="s">
        <v>33</v>
      </c>
      <c r="G2348" t="s">
        <v>30</v>
      </c>
      <c r="H2348">
        <v>372</v>
      </c>
      <c r="I2348" t="str">
        <f>"Fostering Network"</f>
        <v>Fostering Network</v>
      </c>
      <c r="J2348" t="str">
        <f>"Subscriptions Grants And Subscriptions Supplies And Services Fostering Team Childrens Care Services"</f>
        <v>Subscriptions Grants And Subscriptions Supplies And Services Fostering Team Childrens Care Services</v>
      </c>
    </row>
    <row r="2349" spans="1:10" x14ac:dyDescent="0.35">
      <c r="A2349" t="str">
        <f t="shared" si="414"/>
        <v>FEB</v>
      </c>
      <c r="B2349" t="str">
        <f t="shared" si="409"/>
        <v>21</v>
      </c>
      <c r="C2349" t="str">
        <f t="shared" si="410"/>
        <v>2020/21</v>
      </c>
      <c r="D2349" t="str">
        <f>"SC FS 218497"</f>
        <v>SC FS 218497</v>
      </c>
      <c r="E2349" t="str">
        <f t="shared" si="411"/>
        <v>SC</v>
      </c>
      <c r="F2349" t="s">
        <v>33</v>
      </c>
      <c r="G2349" t="s">
        <v>30</v>
      </c>
      <c r="H2349">
        <v>460</v>
      </c>
      <c r="I2349" t="str">
        <f>"Fostering Network"</f>
        <v>Fostering Network</v>
      </c>
      <c r="J2349" t="str">
        <f>"Subscriptions Grants And Subscriptions Supplies And Services Fostering Team Childrens Care Services"</f>
        <v>Subscriptions Grants And Subscriptions Supplies And Services Fostering Team Childrens Care Services</v>
      </c>
    </row>
    <row r="2350" spans="1:10" x14ac:dyDescent="0.35">
      <c r="A2350" t="str">
        <f t="shared" si="414"/>
        <v>FEB</v>
      </c>
      <c r="B2350" t="str">
        <f t="shared" si="409"/>
        <v>21</v>
      </c>
      <c r="C2350" t="str">
        <f t="shared" si="410"/>
        <v>2020/21</v>
      </c>
      <c r="D2350" t="str">
        <f>"SC FS 218497"</f>
        <v>SC FS 218497</v>
      </c>
      <c r="E2350" t="str">
        <f t="shared" si="411"/>
        <v>SC</v>
      </c>
      <c r="F2350" t="s">
        <v>33</v>
      </c>
      <c r="G2350" t="s">
        <v>30</v>
      </c>
      <c r="H2350">
        <v>1022.6</v>
      </c>
      <c r="I2350" t="str">
        <f>"Fostering Network"</f>
        <v>Fostering Network</v>
      </c>
      <c r="J2350" t="str">
        <f>"Subscriptions Grants And Subscriptions Supplies And Services Fostering Team Childrens Care Services"</f>
        <v>Subscriptions Grants And Subscriptions Supplies And Services Fostering Team Childrens Care Services</v>
      </c>
    </row>
    <row r="2351" spans="1:10" x14ac:dyDescent="0.35">
      <c r="A2351" t="str">
        <f t="shared" si="414"/>
        <v>FEB</v>
      </c>
      <c r="B2351" t="str">
        <f t="shared" si="409"/>
        <v>21</v>
      </c>
      <c r="C2351" t="str">
        <f t="shared" si="410"/>
        <v>2020/21</v>
      </c>
      <c r="D2351" t="str">
        <f>"SC PF 215456"</f>
        <v>SC PF 215456</v>
      </c>
      <c r="E2351" t="str">
        <f t="shared" si="411"/>
        <v>SC</v>
      </c>
      <c r="F2351" t="s">
        <v>33</v>
      </c>
      <c r="G2351" t="s">
        <v>30</v>
      </c>
      <c r="H2351">
        <v>3496.89</v>
      </c>
      <c r="I2351" t="str">
        <f t="shared" ref="I2351:I2373" si="416">"Barnardos (Fostering &amp; Adoption)"</f>
        <v>Barnardos (Fostering &amp; Adoption)</v>
      </c>
      <c r="J2351" t="str">
        <f t="shared" ref="J2351:J2374" si="417"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2352" spans="1:10" x14ac:dyDescent="0.35">
      <c r="A2352" t="str">
        <f t="shared" si="414"/>
        <v>FEB</v>
      </c>
      <c r="B2352" t="str">
        <f t="shared" si="409"/>
        <v>21</v>
      </c>
      <c r="C2352" t="str">
        <f t="shared" si="410"/>
        <v>2020/21</v>
      </c>
      <c r="D2352" t="str">
        <f>"SC PF 215456"</f>
        <v>SC PF 215456</v>
      </c>
      <c r="E2352" t="str">
        <f t="shared" si="411"/>
        <v>SC</v>
      </c>
      <c r="F2352" t="s">
        <v>33</v>
      </c>
      <c r="G2352" t="s">
        <v>30</v>
      </c>
      <c r="H2352">
        <v>116.56</v>
      </c>
      <c r="I2352" t="str">
        <f t="shared" si="416"/>
        <v>Barnardos (Fostering &amp; Adoption)</v>
      </c>
      <c r="J2352" t="str">
        <f t="shared" si="417"/>
        <v>Purchased Placements Private Contractors Agency And Contracted Services Purchased Foster Care Childrens Care Services</v>
      </c>
    </row>
    <row r="2353" spans="1:10" x14ac:dyDescent="0.35">
      <c r="A2353" t="str">
        <f t="shared" si="414"/>
        <v>FEB</v>
      </c>
      <c r="B2353" t="str">
        <f t="shared" si="409"/>
        <v>21</v>
      </c>
      <c r="C2353" t="str">
        <f t="shared" si="410"/>
        <v>2020/21</v>
      </c>
      <c r="D2353" t="str">
        <f>"SC PF 215478"</f>
        <v>SC PF 215478</v>
      </c>
      <c r="E2353" t="str">
        <f t="shared" si="411"/>
        <v>SC</v>
      </c>
      <c r="F2353" t="s">
        <v>33</v>
      </c>
      <c r="G2353" t="s">
        <v>30</v>
      </c>
      <c r="H2353">
        <v>3385.2</v>
      </c>
      <c r="I2353" t="str">
        <f t="shared" si="416"/>
        <v>Barnardos (Fostering &amp; Adoption)</v>
      </c>
      <c r="J2353" t="str">
        <f t="shared" si="417"/>
        <v>Purchased Placements Private Contractors Agency And Contracted Services Purchased Foster Care Childrens Care Services</v>
      </c>
    </row>
    <row r="2354" spans="1:10" x14ac:dyDescent="0.35">
      <c r="A2354" t="str">
        <f t="shared" si="414"/>
        <v>FEB</v>
      </c>
      <c r="B2354" t="str">
        <f t="shared" si="409"/>
        <v>21</v>
      </c>
      <c r="C2354" t="str">
        <f t="shared" si="410"/>
        <v>2020/21</v>
      </c>
      <c r="D2354" t="str">
        <f t="shared" ref="D2354:D2368" si="418">"SC PF 215456"</f>
        <v>SC PF 215456</v>
      </c>
      <c r="E2354" t="str">
        <f t="shared" si="411"/>
        <v>SC</v>
      </c>
      <c r="F2354" t="s">
        <v>33</v>
      </c>
      <c r="G2354" t="s">
        <v>30</v>
      </c>
      <c r="H2354">
        <v>7.14</v>
      </c>
      <c r="I2354" t="str">
        <f t="shared" si="416"/>
        <v>Barnardos (Fostering &amp; Adoption)</v>
      </c>
      <c r="J2354" t="str">
        <f t="shared" si="417"/>
        <v>Purchased Placements Private Contractors Agency And Contracted Services Purchased Foster Care Childrens Care Services</v>
      </c>
    </row>
    <row r="2355" spans="1:10" x14ac:dyDescent="0.35">
      <c r="A2355" t="str">
        <f t="shared" si="414"/>
        <v>FEB</v>
      </c>
      <c r="B2355" t="str">
        <f t="shared" ref="B2355:B2418" si="419">"21"</f>
        <v>21</v>
      </c>
      <c r="C2355" t="str">
        <f t="shared" si="410"/>
        <v>2020/21</v>
      </c>
      <c r="D2355" t="str">
        <f t="shared" si="418"/>
        <v>SC PF 215456</v>
      </c>
      <c r="E2355" t="str">
        <f t="shared" si="411"/>
        <v>SC</v>
      </c>
      <c r="F2355" t="s">
        <v>33</v>
      </c>
      <c r="G2355" t="s">
        <v>30</v>
      </c>
      <c r="H2355">
        <v>116.56</v>
      </c>
      <c r="I2355" t="str">
        <f t="shared" si="416"/>
        <v>Barnardos (Fostering &amp; Adoption)</v>
      </c>
      <c r="J2355" t="str">
        <f t="shared" si="417"/>
        <v>Purchased Placements Private Contractors Agency And Contracted Services Purchased Foster Care Childrens Care Services</v>
      </c>
    </row>
    <row r="2356" spans="1:10" x14ac:dyDescent="0.35">
      <c r="A2356" t="str">
        <f t="shared" si="414"/>
        <v>FEB</v>
      </c>
      <c r="B2356" t="str">
        <f t="shared" si="419"/>
        <v>21</v>
      </c>
      <c r="C2356" t="str">
        <f t="shared" si="410"/>
        <v>2020/21</v>
      </c>
      <c r="D2356" t="str">
        <f t="shared" si="418"/>
        <v>SC PF 215456</v>
      </c>
      <c r="E2356" t="str">
        <f t="shared" si="411"/>
        <v>SC</v>
      </c>
      <c r="F2356" t="s">
        <v>33</v>
      </c>
      <c r="G2356" t="s">
        <v>30</v>
      </c>
      <c r="H2356">
        <v>10</v>
      </c>
      <c r="I2356" t="str">
        <f t="shared" si="416"/>
        <v>Barnardos (Fostering &amp; Adoption)</v>
      </c>
      <c r="J2356" t="str">
        <f t="shared" si="417"/>
        <v>Purchased Placements Private Contractors Agency And Contracted Services Purchased Foster Care Childrens Care Services</v>
      </c>
    </row>
    <row r="2357" spans="1:10" x14ac:dyDescent="0.35">
      <c r="A2357" t="str">
        <f t="shared" si="414"/>
        <v>FEB</v>
      </c>
      <c r="B2357" t="str">
        <f t="shared" si="419"/>
        <v>21</v>
      </c>
      <c r="C2357" t="str">
        <f t="shared" si="410"/>
        <v>2020/21</v>
      </c>
      <c r="D2357" t="str">
        <f t="shared" si="418"/>
        <v>SC PF 215456</v>
      </c>
      <c r="E2357" t="str">
        <f t="shared" si="411"/>
        <v>SC</v>
      </c>
      <c r="F2357" t="s">
        <v>33</v>
      </c>
      <c r="G2357" t="s">
        <v>30</v>
      </c>
      <c r="H2357">
        <v>3613.45</v>
      </c>
      <c r="I2357" t="str">
        <f t="shared" si="416"/>
        <v>Barnardos (Fostering &amp; Adoption)</v>
      </c>
      <c r="J2357" t="str">
        <f t="shared" si="417"/>
        <v>Purchased Placements Private Contractors Agency And Contracted Services Purchased Foster Care Childrens Care Services</v>
      </c>
    </row>
    <row r="2358" spans="1:10" x14ac:dyDescent="0.35">
      <c r="A2358" t="str">
        <f t="shared" si="414"/>
        <v>FEB</v>
      </c>
      <c r="B2358" t="str">
        <f t="shared" si="419"/>
        <v>21</v>
      </c>
      <c r="C2358" t="str">
        <f t="shared" si="410"/>
        <v>2020/21</v>
      </c>
      <c r="D2358" t="str">
        <f t="shared" si="418"/>
        <v>SC PF 215456</v>
      </c>
      <c r="E2358" t="str">
        <f t="shared" si="411"/>
        <v>SC</v>
      </c>
      <c r="F2358" t="s">
        <v>33</v>
      </c>
      <c r="G2358" t="s">
        <v>30</v>
      </c>
      <c r="H2358">
        <v>3613.45</v>
      </c>
      <c r="I2358" t="str">
        <f t="shared" si="416"/>
        <v>Barnardos (Fostering &amp; Adoption)</v>
      </c>
      <c r="J2358" t="str">
        <f t="shared" si="417"/>
        <v>Purchased Placements Private Contractors Agency And Contracted Services Purchased Foster Care Childrens Care Services</v>
      </c>
    </row>
    <row r="2359" spans="1:10" x14ac:dyDescent="0.35">
      <c r="A2359" t="str">
        <f t="shared" si="414"/>
        <v>FEB</v>
      </c>
      <c r="B2359" t="str">
        <f t="shared" si="419"/>
        <v>21</v>
      </c>
      <c r="C2359" t="str">
        <f t="shared" si="410"/>
        <v>2020/21</v>
      </c>
      <c r="D2359" t="str">
        <f t="shared" si="418"/>
        <v>SC PF 215456</v>
      </c>
      <c r="E2359" t="str">
        <f t="shared" si="411"/>
        <v>SC</v>
      </c>
      <c r="F2359" t="s">
        <v>33</v>
      </c>
      <c r="G2359" t="s">
        <v>30</v>
      </c>
      <c r="H2359">
        <v>116.56</v>
      </c>
      <c r="I2359" t="str">
        <f t="shared" si="416"/>
        <v>Barnardos (Fostering &amp; Adoption)</v>
      </c>
      <c r="J2359" t="str">
        <f t="shared" si="417"/>
        <v>Purchased Placements Private Contractors Agency And Contracted Services Purchased Foster Care Childrens Care Services</v>
      </c>
    </row>
    <row r="2360" spans="1:10" x14ac:dyDescent="0.35">
      <c r="A2360" t="str">
        <f t="shared" si="414"/>
        <v>FEB</v>
      </c>
      <c r="B2360" t="str">
        <f t="shared" si="419"/>
        <v>21</v>
      </c>
      <c r="C2360" t="str">
        <f t="shared" si="410"/>
        <v>2020/21</v>
      </c>
      <c r="D2360" t="str">
        <f t="shared" si="418"/>
        <v>SC PF 215456</v>
      </c>
      <c r="E2360" t="str">
        <f t="shared" si="411"/>
        <v>SC</v>
      </c>
      <c r="F2360" t="s">
        <v>33</v>
      </c>
      <c r="G2360" t="s">
        <v>30</v>
      </c>
      <c r="H2360">
        <v>3496.8</v>
      </c>
      <c r="I2360" t="str">
        <f t="shared" si="416"/>
        <v>Barnardos (Fostering &amp; Adoption)</v>
      </c>
      <c r="J2360" t="str">
        <f t="shared" si="417"/>
        <v>Purchased Placements Private Contractors Agency And Contracted Services Purchased Foster Care Childrens Care Services</v>
      </c>
    </row>
    <row r="2361" spans="1:10" x14ac:dyDescent="0.35">
      <c r="A2361" t="str">
        <f t="shared" si="414"/>
        <v>FEB</v>
      </c>
      <c r="B2361" t="str">
        <f t="shared" si="419"/>
        <v>21</v>
      </c>
      <c r="C2361" t="str">
        <f t="shared" si="410"/>
        <v>2020/21</v>
      </c>
      <c r="D2361" t="str">
        <f t="shared" si="418"/>
        <v>SC PF 215456</v>
      </c>
      <c r="E2361" t="str">
        <f t="shared" si="411"/>
        <v>SC</v>
      </c>
      <c r="F2361" t="s">
        <v>33</v>
      </c>
      <c r="G2361" t="s">
        <v>30</v>
      </c>
      <c r="H2361">
        <v>-3.47</v>
      </c>
      <c r="I2361" t="str">
        <f t="shared" si="416"/>
        <v>Barnardos (Fostering &amp; Adoption)</v>
      </c>
      <c r="J2361" t="str">
        <f t="shared" si="417"/>
        <v>Purchased Placements Private Contractors Agency And Contracted Services Purchased Foster Care Childrens Care Services</v>
      </c>
    </row>
    <row r="2362" spans="1:10" x14ac:dyDescent="0.35">
      <c r="A2362" t="str">
        <f t="shared" si="414"/>
        <v>FEB</v>
      </c>
      <c r="B2362" t="str">
        <f t="shared" si="419"/>
        <v>21</v>
      </c>
      <c r="C2362" t="str">
        <f t="shared" si="410"/>
        <v>2020/21</v>
      </c>
      <c r="D2362" t="str">
        <f t="shared" si="418"/>
        <v>SC PF 215456</v>
      </c>
      <c r="E2362" t="str">
        <f t="shared" si="411"/>
        <v>SC</v>
      </c>
      <c r="F2362" t="s">
        <v>33</v>
      </c>
      <c r="G2362" t="s">
        <v>30</v>
      </c>
      <c r="H2362">
        <v>50</v>
      </c>
      <c r="I2362" t="str">
        <f t="shared" si="416"/>
        <v>Barnardos (Fostering &amp; Adoption)</v>
      </c>
      <c r="J2362" t="str">
        <f t="shared" si="417"/>
        <v>Purchased Placements Private Contractors Agency And Contracted Services Purchased Foster Care Childrens Care Services</v>
      </c>
    </row>
    <row r="2363" spans="1:10" x14ac:dyDescent="0.35">
      <c r="A2363" t="str">
        <f t="shared" si="414"/>
        <v>FEB</v>
      </c>
      <c r="B2363" t="str">
        <f t="shared" si="419"/>
        <v>21</v>
      </c>
      <c r="C2363" t="str">
        <f t="shared" si="410"/>
        <v>2020/21</v>
      </c>
      <c r="D2363" t="str">
        <f t="shared" si="418"/>
        <v>SC PF 215456</v>
      </c>
      <c r="E2363" t="str">
        <f t="shared" si="411"/>
        <v>SC</v>
      </c>
      <c r="F2363" t="s">
        <v>33</v>
      </c>
      <c r="G2363" t="s">
        <v>30</v>
      </c>
      <c r="H2363">
        <v>116.56</v>
      </c>
      <c r="I2363" t="str">
        <f t="shared" si="416"/>
        <v>Barnardos (Fostering &amp; Adoption)</v>
      </c>
      <c r="J2363" t="str">
        <f t="shared" si="417"/>
        <v>Purchased Placements Private Contractors Agency And Contracted Services Purchased Foster Care Childrens Care Services</v>
      </c>
    </row>
    <row r="2364" spans="1:10" x14ac:dyDescent="0.35">
      <c r="A2364" t="str">
        <f t="shared" si="414"/>
        <v>FEB</v>
      </c>
      <c r="B2364" t="str">
        <f t="shared" si="419"/>
        <v>21</v>
      </c>
      <c r="C2364" t="str">
        <f t="shared" si="410"/>
        <v>2020/21</v>
      </c>
      <c r="D2364" t="str">
        <f t="shared" si="418"/>
        <v>SC PF 215456</v>
      </c>
      <c r="E2364" t="str">
        <f t="shared" si="411"/>
        <v>SC</v>
      </c>
      <c r="F2364" t="s">
        <v>33</v>
      </c>
      <c r="G2364" t="s">
        <v>30</v>
      </c>
      <c r="H2364">
        <v>5</v>
      </c>
      <c r="I2364" t="str">
        <f t="shared" si="416"/>
        <v>Barnardos (Fostering &amp; Adoption)</v>
      </c>
      <c r="J2364" t="str">
        <f t="shared" si="417"/>
        <v>Purchased Placements Private Contractors Agency And Contracted Services Purchased Foster Care Childrens Care Services</v>
      </c>
    </row>
    <row r="2365" spans="1:10" x14ac:dyDescent="0.35">
      <c r="A2365" t="str">
        <f t="shared" si="414"/>
        <v>FEB</v>
      </c>
      <c r="B2365" t="str">
        <f t="shared" si="419"/>
        <v>21</v>
      </c>
      <c r="C2365" t="str">
        <f t="shared" si="410"/>
        <v>2020/21</v>
      </c>
      <c r="D2365" t="str">
        <f t="shared" si="418"/>
        <v>SC PF 215456</v>
      </c>
      <c r="E2365" t="str">
        <f t="shared" si="411"/>
        <v>SC</v>
      </c>
      <c r="F2365" t="s">
        <v>33</v>
      </c>
      <c r="G2365" t="s">
        <v>30</v>
      </c>
      <c r="H2365">
        <v>116.56</v>
      </c>
      <c r="I2365" t="str">
        <f t="shared" si="416"/>
        <v>Barnardos (Fostering &amp; Adoption)</v>
      </c>
      <c r="J2365" t="str">
        <f t="shared" si="417"/>
        <v>Purchased Placements Private Contractors Agency And Contracted Services Purchased Foster Care Childrens Care Services</v>
      </c>
    </row>
    <row r="2366" spans="1:10" x14ac:dyDescent="0.35">
      <c r="A2366" t="str">
        <f t="shared" si="414"/>
        <v>FEB</v>
      </c>
      <c r="B2366" t="str">
        <f t="shared" si="419"/>
        <v>21</v>
      </c>
      <c r="C2366" t="str">
        <f t="shared" si="410"/>
        <v>2020/21</v>
      </c>
      <c r="D2366" t="str">
        <f t="shared" si="418"/>
        <v>SC PF 215456</v>
      </c>
      <c r="E2366" t="str">
        <f t="shared" si="411"/>
        <v>SC</v>
      </c>
      <c r="F2366" t="s">
        <v>33</v>
      </c>
      <c r="G2366" t="s">
        <v>30</v>
      </c>
      <c r="H2366">
        <v>160</v>
      </c>
      <c r="I2366" t="str">
        <f t="shared" si="416"/>
        <v>Barnardos (Fostering &amp; Adoption)</v>
      </c>
      <c r="J2366" t="str">
        <f t="shared" si="417"/>
        <v>Purchased Placements Private Contractors Agency And Contracted Services Purchased Foster Care Childrens Care Services</v>
      </c>
    </row>
    <row r="2367" spans="1:10" x14ac:dyDescent="0.35">
      <c r="A2367" t="str">
        <f t="shared" si="414"/>
        <v>FEB</v>
      </c>
      <c r="B2367" t="str">
        <f t="shared" si="419"/>
        <v>21</v>
      </c>
      <c r="C2367" t="str">
        <f t="shared" si="410"/>
        <v>2020/21</v>
      </c>
      <c r="D2367" t="str">
        <f t="shared" si="418"/>
        <v>SC PF 215456</v>
      </c>
      <c r="E2367" t="str">
        <f t="shared" si="411"/>
        <v>SC</v>
      </c>
      <c r="F2367" t="s">
        <v>33</v>
      </c>
      <c r="G2367" t="s">
        <v>30</v>
      </c>
      <c r="H2367">
        <v>-9.85</v>
      </c>
      <c r="I2367" t="str">
        <f t="shared" si="416"/>
        <v>Barnardos (Fostering &amp; Adoption)</v>
      </c>
      <c r="J2367" t="str">
        <f t="shared" si="417"/>
        <v>Purchased Placements Private Contractors Agency And Contracted Services Purchased Foster Care Childrens Care Services</v>
      </c>
    </row>
    <row r="2368" spans="1:10" x14ac:dyDescent="0.35">
      <c r="A2368" t="str">
        <f t="shared" si="414"/>
        <v>FEB</v>
      </c>
      <c r="B2368" t="str">
        <f t="shared" si="419"/>
        <v>21</v>
      </c>
      <c r="C2368" t="str">
        <f t="shared" si="410"/>
        <v>2020/21</v>
      </c>
      <c r="D2368" t="str">
        <f t="shared" si="418"/>
        <v>SC PF 215456</v>
      </c>
      <c r="E2368" t="str">
        <f t="shared" si="411"/>
        <v>SC</v>
      </c>
      <c r="F2368" t="s">
        <v>33</v>
      </c>
      <c r="G2368" t="s">
        <v>30</v>
      </c>
      <c r="H2368">
        <v>3276</v>
      </c>
      <c r="I2368" t="str">
        <f t="shared" si="416"/>
        <v>Barnardos (Fostering &amp; Adoption)</v>
      </c>
      <c r="J2368" t="str">
        <f t="shared" si="417"/>
        <v>Purchased Placements Private Contractors Agency And Contracted Services Purchased Foster Care Childrens Care Services</v>
      </c>
    </row>
    <row r="2369" spans="1:10" x14ac:dyDescent="0.35">
      <c r="A2369" t="str">
        <f t="shared" si="414"/>
        <v>FEB</v>
      </c>
      <c r="B2369" t="str">
        <f t="shared" si="419"/>
        <v>21</v>
      </c>
      <c r="C2369" t="str">
        <f t="shared" si="410"/>
        <v>2020/21</v>
      </c>
      <c r="D2369" t="str">
        <f>"SC PF 215479"</f>
        <v>SC PF 215479</v>
      </c>
      <c r="E2369" t="str">
        <f t="shared" si="411"/>
        <v>SC</v>
      </c>
      <c r="F2369" t="s">
        <v>33</v>
      </c>
      <c r="G2369" t="s">
        <v>30</v>
      </c>
      <c r="H2369">
        <v>3385.2</v>
      </c>
      <c r="I2369" t="str">
        <f t="shared" si="416"/>
        <v>Barnardos (Fostering &amp; Adoption)</v>
      </c>
      <c r="J2369" t="str">
        <f t="shared" si="417"/>
        <v>Purchased Placements Private Contractors Agency And Contracted Services Purchased Foster Care Childrens Care Services</v>
      </c>
    </row>
    <row r="2370" spans="1:10" x14ac:dyDescent="0.35">
      <c r="A2370" t="str">
        <f t="shared" si="414"/>
        <v>FEB</v>
      </c>
      <c r="B2370" t="str">
        <f t="shared" si="419"/>
        <v>21</v>
      </c>
      <c r="C2370" t="str">
        <f t="shared" ref="C2370:C2433" si="420">"2020/21"</f>
        <v>2020/21</v>
      </c>
      <c r="D2370" t="str">
        <f>"SC PF 215456"</f>
        <v>SC PF 215456</v>
      </c>
      <c r="E2370" t="str">
        <f t="shared" ref="E2370:E2433" si="421">LEFT(D2370,2)</f>
        <v>SC</v>
      </c>
      <c r="F2370" t="s">
        <v>33</v>
      </c>
      <c r="G2370" t="s">
        <v>30</v>
      </c>
      <c r="H2370">
        <v>116.56</v>
      </c>
      <c r="I2370" t="str">
        <f t="shared" si="416"/>
        <v>Barnardos (Fostering &amp; Adoption)</v>
      </c>
      <c r="J2370" t="str">
        <f t="shared" si="417"/>
        <v>Purchased Placements Private Contractors Agency And Contracted Services Purchased Foster Care Childrens Care Services</v>
      </c>
    </row>
    <row r="2371" spans="1:10" x14ac:dyDescent="0.35">
      <c r="A2371" t="str">
        <f t="shared" si="414"/>
        <v>FEB</v>
      </c>
      <c r="B2371" t="str">
        <f t="shared" si="419"/>
        <v>21</v>
      </c>
      <c r="C2371" t="str">
        <f t="shared" si="420"/>
        <v>2020/21</v>
      </c>
      <c r="D2371" t="str">
        <f>"SC PF 215456"</f>
        <v>SC PF 215456</v>
      </c>
      <c r="E2371" t="str">
        <f t="shared" si="421"/>
        <v>SC</v>
      </c>
      <c r="F2371" t="s">
        <v>33</v>
      </c>
      <c r="G2371" t="s">
        <v>30</v>
      </c>
      <c r="H2371">
        <v>3613.45</v>
      </c>
      <c r="I2371" t="str">
        <f t="shared" si="416"/>
        <v>Barnardos (Fostering &amp; Adoption)</v>
      </c>
      <c r="J2371" t="str">
        <f t="shared" si="417"/>
        <v>Purchased Placements Private Contractors Agency And Contracted Services Purchased Foster Care Childrens Care Services</v>
      </c>
    </row>
    <row r="2372" spans="1:10" x14ac:dyDescent="0.35">
      <c r="A2372" t="str">
        <f t="shared" si="414"/>
        <v>FEB</v>
      </c>
      <c r="B2372" t="str">
        <f t="shared" si="419"/>
        <v>21</v>
      </c>
      <c r="C2372" t="str">
        <f t="shared" si="420"/>
        <v>2020/21</v>
      </c>
      <c r="D2372" t="str">
        <f>"SC PF 215456"</f>
        <v>SC PF 215456</v>
      </c>
      <c r="E2372" t="str">
        <f t="shared" si="421"/>
        <v>SC</v>
      </c>
      <c r="F2372" t="s">
        <v>33</v>
      </c>
      <c r="G2372" t="s">
        <v>30</v>
      </c>
      <c r="H2372">
        <v>220</v>
      </c>
      <c r="I2372" t="str">
        <f t="shared" si="416"/>
        <v>Barnardos (Fostering &amp; Adoption)</v>
      </c>
      <c r="J2372" t="str">
        <f t="shared" si="417"/>
        <v>Purchased Placements Private Contractors Agency And Contracted Services Purchased Foster Care Childrens Care Services</v>
      </c>
    </row>
    <row r="2373" spans="1:10" x14ac:dyDescent="0.35">
      <c r="A2373" t="str">
        <f t="shared" si="414"/>
        <v>FEB</v>
      </c>
      <c r="B2373" t="str">
        <f t="shared" si="419"/>
        <v>21</v>
      </c>
      <c r="C2373" t="str">
        <f t="shared" si="420"/>
        <v>2020/21</v>
      </c>
      <c r="D2373" t="str">
        <f>"SC PF 215478"</f>
        <v>SC PF 215478</v>
      </c>
      <c r="E2373" t="str">
        <f t="shared" si="421"/>
        <v>SC</v>
      </c>
      <c r="F2373" t="s">
        <v>33</v>
      </c>
      <c r="G2373" t="s">
        <v>30</v>
      </c>
      <c r="H2373">
        <v>3385.2</v>
      </c>
      <c r="I2373" t="str">
        <f t="shared" si="416"/>
        <v>Barnardos (Fostering &amp; Adoption)</v>
      </c>
      <c r="J2373" t="str">
        <f t="shared" si="417"/>
        <v>Purchased Placements Private Contractors Agency And Contracted Services Purchased Foster Care Childrens Care Services</v>
      </c>
    </row>
    <row r="2374" spans="1:10" x14ac:dyDescent="0.35">
      <c r="A2374" t="str">
        <f t="shared" si="414"/>
        <v>FEB</v>
      </c>
      <c r="B2374" t="str">
        <f t="shared" si="419"/>
        <v>21</v>
      </c>
      <c r="C2374" t="str">
        <f t="shared" si="420"/>
        <v>2020/21</v>
      </c>
      <c r="D2374" t="str">
        <f>"SC PF 215529"</f>
        <v>SC PF 215529</v>
      </c>
      <c r="E2374" t="str">
        <f t="shared" si="421"/>
        <v>SC</v>
      </c>
      <c r="F2374" t="s">
        <v>33</v>
      </c>
      <c r="G2374" t="s">
        <v>30</v>
      </c>
      <c r="H2374">
        <v>3244.46</v>
      </c>
      <c r="I2374" t="str">
        <f>"The Childrens Family Trust"</f>
        <v>The Childrens Family Trust</v>
      </c>
      <c r="J2374" t="str">
        <f t="shared" si="417"/>
        <v>Purchased Placements Private Contractors Agency And Contracted Services Purchased Foster Care Childrens Care Services</v>
      </c>
    </row>
    <row r="2375" spans="1:10" x14ac:dyDescent="0.35">
      <c r="A2375" t="str">
        <f t="shared" si="414"/>
        <v>FEB</v>
      </c>
      <c r="B2375" t="str">
        <f t="shared" si="419"/>
        <v>21</v>
      </c>
      <c r="C2375" t="str">
        <f t="shared" si="420"/>
        <v>2020/21</v>
      </c>
      <c r="D2375" t="str">
        <f>"PS OD 026088"</f>
        <v>PS OD 026088</v>
      </c>
      <c r="E2375" t="str">
        <f t="shared" si="421"/>
        <v>PS</v>
      </c>
      <c r="F2375" t="s">
        <v>34</v>
      </c>
      <c r="G2375" t="s">
        <v>20</v>
      </c>
      <c r="H2375">
        <v>169</v>
      </c>
      <c r="I2375" t="str">
        <f>"APSE"</f>
        <v>APSE</v>
      </c>
      <c r="J2375" t="str">
        <f>"LD Applications Expenses Employees And Related Expenses Workforce Organisation Development Human Resources"</f>
        <v>LD Applications Expenses Employees And Related Expenses Workforce Organisation Development Human Resources</v>
      </c>
    </row>
    <row r="2376" spans="1:10" x14ac:dyDescent="0.35">
      <c r="A2376" t="str">
        <f t="shared" si="414"/>
        <v>FEB</v>
      </c>
      <c r="B2376" t="str">
        <f t="shared" si="419"/>
        <v>21</v>
      </c>
      <c r="C2376" t="str">
        <f t="shared" si="420"/>
        <v>2020/21</v>
      </c>
      <c r="D2376" t="str">
        <f>"PS OD 026268"</f>
        <v>PS OD 026268</v>
      </c>
      <c r="E2376" t="str">
        <f t="shared" si="421"/>
        <v>PS</v>
      </c>
      <c r="F2376" t="s">
        <v>34</v>
      </c>
      <c r="G2376" t="s">
        <v>20</v>
      </c>
      <c r="H2376">
        <v>349</v>
      </c>
      <c r="I2376" t="str">
        <f>"Restorative Solutions CIC"</f>
        <v>Restorative Solutions CIC</v>
      </c>
      <c r="J2376" t="str">
        <f>"LD Applications Expenses Employees And Related Expenses Workforce Organisation Development Human Resources"</f>
        <v>LD Applications Expenses Employees And Related Expenses Workforce Organisation Development Human Resources</v>
      </c>
    </row>
    <row r="2377" spans="1:10" x14ac:dyDescent="0.35">
      <c r="A2377" t="str">
        <f t="shared" si="414"/>
        <v>FEB</v>
      </c>
      <c r="B2377" t="str">
        <f t="shared" si="419"/>
        <v>21</v>
      </c>
      <c r="C2377" t="str">
        <f t="shared" si="420"/>
        <v>2020/21</v>
      </c>
      <c r="D2377" t="str">
        <f>"PS OD 026292"</f>
        <v>PS OD 026292</v>
      </c>
      <c r="E2377" t="str">
        <f t="shared" si="421"/>
        <v>PS</v>
      </c>
      <c r="F2377" t="s">
        <v>34</v>
      </c>
      <c r="G2377" t="s">
        <v>20</v>
      </c>
      <c r="H2377">
        <v>2500</v>
      </c>
      <c r="I2377" t="str">
        <f>"Stonewall Equality Ltd"</f>
        <v>Stonewall Equality Ltd</v>
      </c>
      <c r="J2377" t="str">
        <f>"Diversity &amp; Inclusion Expenses Employees And Related Expenses Workforce Organisation Development Human Resources"</f>
        <v>Diversity &amp; Inclusion Expenses Employees And Related Expenses Workforce Organisation Development Human Resources</v>
      </c>
    </row>
    <row r="2378" spans="1:10" x14ac:dyDescent="0.35">
      <c r="A2378" t="str">
        <f t="shared" si="414"/>
        <v>FEB</v>
      </c>
      <c r="B2378" t="str">
        <f t="shared" si="419"/>
        <v>21</v>
      </c>
      <c r="C2378" t="str">
        <f t="shared" si="420"/>
        <v>2020/21</v>
      </c>
      <c r="D2378" t="str">
        <f>"PS OD 026320"</f>
        <v>PS OD 026320</v>
      </c>
      <c r="E2378" t="str">
        <f t="shared" si="421"/>
        <v>PS</v>
      </c>
      <c r="F2378" t="s">
        <v>34</v>
      </c>
      <c r="G2378" t="s">
        <v>20</v>
      </c>
      <c r="H2378">
        <v>99</v>
      </c>
      <c r="I2378" t="str">
        <f>"APSE"</f>
        <v>APSE</v>
      </c>
      <c r="J2378" t="str">
        <f>"Conference Expenses Expenses Supplies And Services Workforce Organisation Development Human Resources"</f>
        <v>Conference Expenses Expenses Supplies And Services Workforce Organisation Development Human Resources</v>
      </c>
    </row>
    <row r="2379" spans="1:10" x14ac:dyDescent="0.35">
      <c r="A2379" t="str">
        <f t="shared" si="414"/>
        <v>FEB</v>
      </c>
      <c r="B2379" t="str">
        <f t="shared" si="419"/>
        <v>21</v>
      </c>
      <c r="C2379" t="str">
        <f t="shared" si="420"/>
        <v>2020/21</v>
      </c>
      <c r="D2379" t="str">
        <f>"SS PJ 117179"</f>
        <v>SS PJ 117179</v>
      </c>
      <c r="E2379" t="str">
        <f t="shared" si="421"/>
        <v>SS</v>
      </c>
      <c r="F2379" t="s">
        <v>25</v>
      </c>
      <c r="G2379" t="s">
        <v>22</v>
      </c>
      <c r="H2379">
        <v>210</v>
      </c>
      <c r="I2379" t="str">
        <f>"Project Colt"</f>
        <v>Project Colt</v>
      </c>
      <c r="J2379" t="str">
        <f>"Bearders Trust Payments Miscellaneous Expenses Supplies And Services Operational Management (Prevention And Early Help) Adult Health &amp; Social Ca"</f>
        <v>Bearders Trust Payments Miscellaneous Expenses Supplies And Services Operational Management (Prevention And Early Help) Adult Health &amp; Social Ca</v>
      </c>
    </row>
    <row r="2380" spans="1:10" x14ac:dyDescent="0.35">
      <c r="A2380" t="str">
        <f t="shared" si="414"/>
        <v>FEB</v>
      </c>
      <c r="B2380" t="str">
        <f t="shared" si="419"/>
        <v>21</v>
      </c>
      <c r="C2380" t="str">
        <f t="shared" si="420"/>
        <v>2020/21</v>
      </c>
      <c r="D2380" t="str">
        <f t="shared" ref="D2380:D2387" si="422">"SS SL 114876"</f>
        <v>SS SL 114876</v>
      </c>
      <c r="E2380" t="str">
        <f t="shared" si="421"/>
        <v>SS</v>
      </c>
      <c r="F2380" t="s">
        <v>25</v>
      </c>
      <c r="G2380" t="s">
        <v>22</v>
      </c>
      <c r="H2380">
        <v>3590.4</v>
      </c>
      <c r="I2380" t="str">
        <f t="shared" ref="I2380:I2392" si="423">"Mencap Northern Division"</f>
        <v>Mencap Northern Division</v>
      </c>
      <c r="J2380" t="str">
        <f t="shared" ref="J2380:J2387" si="424"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2381" spans="1:10" x14ac:dyDescent="0.35">
      <c r="A2381" t="str">
        <f t="shared" si="414"/>
        <v>FEB</v>
      </c>
      <c r="B2381" t="str">
        <f t="shared" si="419"/>
        <v>21</v>
      </c>
      <c r="C2381" t="str">
        <f t="shared" si="420"/>
        <v>2020/21</v>
      </c>
      <c r="D2381" t="str">
        <f t="shared" si="422"/>
        <v>SS SL 114876</v>
      </c>
      <c r="E2381" t="str">
        <f t="shared" si="421"/>
        <v>SS</v>
      </c>
      <c r="F2381" t="s">
        <v>25</v>
      </c>
      <c r="G2381" t="s">
        <v>22</v>
      </c>
      <c r="H2381">
        <v>706.66</v>
      </c>
      <c r="I2381" t="str">
        <f t="shared" si="423"/>
        <v>Mencap Northern Division</v>
      </c>
      <c r="J2381" t="str">
        <f t="shared" si="424"/>
        <v>Princess Street (Mencap) Voluntary Associations Agency And Contracted Services Supported Living Adult Health &amp; Social Care</v>
      </c>
    </row>
    <row r="2382" spans="1:10" x14ac:dyDescent="0.35">
      <c r="A2382" t="str">
        <f t="shared" si="414"/>
        <v>FEB</v>
      </c>
      <c r="B2382" t="str">
        <f t="shared" si="419"/>
        <v>21</v>
      </c>
      <c r="C2382" t="str">
        <f t="shared" si="420"/>
        <v>2020/21</v>
      </c>
      <c r="D2382" t="str">
        <f t="shared" si="422"/>
        <v>SS SL 114876</v>
      </c>
      <c r="E2382" t="str">
        <f t="shared" si="421"/>
        <v>SS</v>
      </c>
      <c r="F2382" t="s">
        <v>25</v>
      </c>
      <c r="G2382" t="s">
        <v>22</v>
      </c>
      <c r="H2382">
        <v>19737.400000000001</v>
      </c>
      <c r="I2382" t="str">
        <f t="shared" si="423"/>
        <v>Mencap Northern Division</v>
      </c>
      <c r="J2382" t="str">
        <f t="shared" si="424"/>
        <v>Princess Street (Mencap) Voluntary Associations Agency And Contracted Services Supported Living Adult Health &amp; Social Care</v>
      </c>
    </row>
    <row r="2383" spans="1:10" x14ac:dyDescent="0.35">
      <c r="A2383" t="str">
        <f t="shared" si="414"/>
        <v>FEB</v>
      </c>
      <c r="B2383" t="str">
        <f t="shared" si="419"/>
        <v>21</v>
      </c>
      <c r="C2383" t="str">
        <f t="shared" si="420"/>
        <v>2020/21</v>
      </c>
      <c r="D2383" t="str">
        <f t="shared" si="422"/>
        <v>SS SL 114876</v>
      </c>
      <c r="E2383" t="str">
        <f t="shared" si="421"/>
        <v>SS</v>
      </c>
      <c r="F2383" t="s">
        <v>25</v>
      </c>
      <c r="G2383" t="s">
        <v>22</v>
      </c>
      <c r="H2383">
        <v>160</v>
      </c>
      <c r="I2383" t="str">
        <f t="shared" si="423"/>
        <v>Mencap Northern Division</v>
      </c>
      <c r="J2383" t="str">
        <f t="shared" si="424"/>
        <v>Princess Street (Mencap) Voluntary Associations Agency And Contracted Services Supported Living Adult Health &amp; Social Care</v>
      </c>
    </row>
    <row r="2384" spans="1:10" x14ac:dyDescent="0.35">
      <c r="A2384" t="str">
        <f t="shared" si="414"/>
        <v>FEB</v>
      </c>
      <c r="B2384" t="str">
        <f t="shared" si="419"/>
        <v>21</v>
      </c>
      <c r="C2384" t="str">
        <f t="shared" si="420"/>
        <v>2020/21</v>
      </c>
      <c r="D2384" t="str">
        <f t="shared" si="422"/>
        <v>SS SL 114876</v>
      </c>
      <c r="E2384" t="str">
        <f t="shared" si="421"/>
        <v>SS</v>
      </c>
      <c r="F2384" t="s">
        <v>25</v>
      </c>
      <c r="G2384" t="s">
        <v>22</v>
      </c>
      <c r="H2384">
        <v>706.66</v>
      </c>
      <c r="I2384" t="str">
        <f t="shared" si="423"/>
        <v>Mencap Northern Division</v>
      </c>
      <c r="J2384" t="str">
        <f t="shared" si="424"/>
        <v>Princess Street (Mencap) Voluntary Associations Agency And Contracted Services Supported Living Adult Health &amp; Social Care</v>
      </c>
    </row>
    <row r="2385" spans="1:10" x14ac:dyDescent="0.35">
      <c r="A2385" t="str">
        <f t="shared" si="414"/>
        <v>FEB</v>
      </c>
      <c r="B2385" t="str">
        <f t="shared" si="419"/>
        <v>21</v>
      </c>
      <c r="C2385" t="str">
        <f t="shared" si="420"/>
        <v>2020/21</v>
      </c>
      <c r="D2385" t="str">
        <f t="shared" si="422"/>
        <v>SS SL 114876</v>
      </c>
      <c r="E2385" t="str">
        <f t="shared" si="421"/>
        <v>SS</v>
      </c>
      <c r="F2385" t="s">
        <v>25</v>
      </c>
      <c r="G2385" t="s">
        <v>22</v>
      </c>
      <c r="H2385">
        <v>19737.400000000001</v>
      </c>
      <c r="I2385" t="str">
        <f t="shared" si="423"/>
        <v>Mencap Northern Division</v>
      </c>
      <c r="J2385" t="str">
        <f t="shared" si="424"/>
        <v>Princess Street (Mencap) Voluntary Associations Agency And Contracted Services Supported Living Adult Health &amp; Social Care</v>
      </c>
    </row>
    <row r="2386" spans="1:10" x14ac:dyDescent="0.35">
      <c r="A2386" t="str">
        <f t="shared" si="414"/>
        <v>FEB</v>
      </c>
      <c r="B2386" t="str">
        <f t="shared" si="419"/>
        <v>21</v>
      </c>
      <c r="C2386" t="str">
        <f t="shared" si="420"/>
        <v>2020/21</v>
      </c>
      <c r="D2386" t="str">
        <f t="shared" si="422"/>
        <v>SS SL 114876</v>
      </c>
      <c r="E2386" t="str">
        <f t="shared" si="421"/>
        <v>SS</v>
      </c>
      <c r="F2386" t="s">
        <v>25</v>
      </c>
      <c r="G2386" t="s">
        <v>22</v>
      </c>
      <c r="H2386">
        <v>5328.6</v>
      </c>
      <c r="I2386" t="str">
        <f t="shared" si="423"/>
        <v>Mencap Northern Division</v>
      </c>
      <c r="J2386" t="str">
        <f t="shared" si="424"/>
        <v>Princess Street (Mencap) Voluntary Associations Agency And Contracted Services Supported Living Adult Health &amp; Social Care</v>
      </c>
    </row>
    <row r="2387" spans="1:10" x14ac:dyDescent="0.35">
      <c r="A2387" t="str">
        <f t="shared" si="414"/>
        <v>FEB</v>
      </c>
      <c r="B2387" t="str">
        <f t="shared" si="419"/>
        <v>21</v>
      </c>
      <c r="C2387" t="str">
        <f t="shared" si="420"/>
        <v>2020/21</v>
      </c>
      <c r="D2387" t="str">
        <f t="shared" si="422"/>
        <v>SS SL 114876</v>
      </c>
      <c r="E2387" t="str">
        <f t="shared" si="421"/>
        <v>SS</v>
      </c>
      <c r="F2387" t="s">
        <v>25</v>
      </c>
      <c r="G2387" t="s">
        <v>22</v>
      </c>
      <c r="H2387">
        <v>4415.6000000000004</v>
      </c>
      <c r="I2387" t="str">
        <f t="shared" si="423"/>
        <v>Mencap Northern Division</v>
      </c>
      <c r="J2387" t="str">
        <f t="shared" si="424"/>
        <v>Princess Street (Mencap) Voluntary Associations Agency And Contracted Services Supported Living Adult Health &amp; Social Care</v>
      </c>
    </row>
    <row r="2388" spans="1:10" x14ac:dyDescent="0.35">
      <c r="A2388" t="str">
        <f t="shared" si="414"/>
        <v>FEB</v>
      </c>
      <c r="B2388" t="str">
        <f t="shared" si="419"/>
        <v>21</v>
      </c>
      <c r="C2388" t="str">
        <f t="shared" si="420"/>
        <v>2020/21</v>
      </c>
      <c r="D2388" t="str">
        <f>"SS SL 114875"</f>
        <v>SS SL 114875</v>
      </c>
      <c r="E2388" t="str">
        <f t="shared" si="421"/>
        <v>SS</v>
      </c>
      <c r="F2388" t="s">
        <v>25</v>
      </c>
      <c r="G2388" t="s">
        <v>22</v>
      </c>
      <c r="H2388">
        <v>1792.8</v>
      </c>
      <c r="I2388" t="str">
        <f t="shared" si="423"/>
        <v>Mencap Northern Division</v>
      </c>
      <c r="J2388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2389" spans="1:10" x14ac:dyDescent="0.35">
      <c r="A2389" t="str">
        <f t="shared" si="414"/>
        <v>FEB</v>
      </c>
      <c r="B2389" t="str">
        <f t="shared" si="419"/>
        <v>21</v>
      </c>
      <c r="C2389" t="str">
        <f t="shared" si="420"/>
        <v>2020/21</v>
      </c>
      <c r="D2389" t="str">
        <f>"SS SL 114875"</f>
        <v>SS SL 114875</v>
      </c>
      <c r="E2389" t="str">
        <f t="shared" si="421"/>
        <v>SS</v>
      </c>
      <c r="F2389" t="s">
        <v>25</v>
      </c>
      <c r="G2389" t="s">
        <v>22</v>
      </c>
      <c r="H2389">
        <v>2284.8000000000002</v>
      </c>
      <c r="I2389" t="str">
        <f t="shared" si="423"/>
        <v>Mencap Northern Division</v>
      </c>
      <c r="J2389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2390" spans="1:10" x14ac:dyDescent="0.35">
      <c r="A2390" t="str">
        <f t="shared" si="414"/>
        <v>FEB</v>
      </c>
      <c r="B2390" t="str">
        <f t="shared" si="419"/>
        <v>21</v>
      </c>
      <c r="C2390" t="str">
        <f t="shared" si="420"/>
        <v>2020/21</v>
      </c>
      <c r="D2390" t="str">
        <f>"SS SL 114875"</f>
        <v>SS SL 114875</v>
      </c>
      <c r="E2390" t="str">
        <f t="shared" si="421"/>
        <v>SS</v>
      </c>
      <c r="F2390" t="s">
        <v>25</v>
      </c>
      <c r="G2390" t="s">
        <v>22</v>
      </c>
      <c r="H2390">
        <v>1859.2</v>
      </c>
      <c r="I2390" t="str">
        <f t="shared" si="423"/>
        <v>Mencap Northern Division</v>
      </c>
      <c r="J2390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2391" spans="1:10" x14ac:dyDescent="0.35">
      <c r="A2391" t="str">
        <f t="shared" si="414"/>
        <v>FEB</v>
      </c>
      <c r="B2391" t="str">
        <f t="shared" si="419"/>
        <v>21</v>
      </c>
      <c r="C2391" t="str">
        <f t="shared" si="420"/>
        <v>2020/21</v>
      </c>
      <c r="D2391" t="str">
        <f>"SS SL 114875"</f>
        <v>SS SL 114875</v>
      </c>
      <c r="E2391" t="str">
        <f t="shared" si="421"/>
        <v>SS</v>
      </c>
      <c r="F2391" t="s">
        <v>25</v>
      </c>
      <c r="G2391" t="s">
        <v>22</v>
      </c>
      <c r="H2391">
        <v>2606.1999999999998</v>
      </c>
      <c r="I2391" t="str">
        <f t="shared" si="423"/>
        <v>Mencap Northern Division</v>
      </c>
      <c r="J2391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2392" spans="1:10" x14ac:dyDescent="0.35">
      <c r="A2392" t="str">
        <f t="shared" si="414"/>
        <v>FEB</v>
      </c>
      <c r="B2392" t="str">
        <f t="shared" si="419"/>
        <v>21</v>
      </c>
      <c r="C2392" t="str">
        <f t="shared" si="420"/>
        <v>2020/21</v>
      </c>
      <c r="D2392" t="str">
        <f>"SS SL 114875"</f>
        <v>SS SL 114875</v>
      </c>
      <c r="E2392" t="str">
        <f t="shared" si="421"/>
        <v>SS</v>
      </c>
      <c r="F2392" t="s">
        <v>25</v>
      </c>
      <c r="G2392" t="s">
        <v>22</v>
      </c>
      <c r="H2392">
        <v>2207.8000000000002</v>
      </c>
      <c r="I2392" t="str">
        <f t="shared" si="423"/>
        <v>Mencap Northern Division</v>
      </c>
      <c r="J2392" t="str">
        <f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2393" spans="1:10" x14ac:dyDescent="0.35">
      <c r="A2393" t="str">
        <f t="shared" si="414"/>
        <v>FEB</v>
      </c>
      <c r="B2393" t="str">
        <f t="shared" si="419"/>
        <v>21</v>
      </c>
      <c r="C2393" t="str">
        <f t="shared" si="420"/>
        <v>2020/21</v>
      </c>
      <c r="D2393" t="str">
        <f>"SS SL 113560"</f>
        <v>SS SL 113560</v>
      </c>
      <c r="E2393" t="str">
        <f t="shared" si="421"/>
        <v>SS</v>
      </c>
      <c r="F2393" t="s">
        <v>25</v>
      </c>
      <c r="G2393" t="s">
        <v>22</v>
      </c>
      <c r="H2393">
        <v>2639.96</v>
      </c>
      <c r="I2393" t="str">
        <f>"Camphill Village Trust"</f>
        <v>Camphill Village Trust</v>
      </c>
      <c r="J2393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2394" spans="1:10" x14ac:dyDescent="0.35">
      <c r="A2394" t="str">
        <f t="shared" si="414"/>
        <v>FEB</v>
      </c>
      <c r="B2394" t="str">
        <f t="shared" si="419"/>
        <v>21</v>
      </c>
      <c r="C2394" t="str">
        <f t="shared" si="420"/>
        <v>2020/21</v>
      </c>
      <c r="D2394" t="str">
        <f>"SS SL 113560"</f>
        <v>SS SL 113560</v>
      </c>
      <c r="E2394" t="str">
        <f t="shared" si="421"/>
        <v>SS</v>
      </c>
      <c r="F2394" t="s">
        <v>25</v>
      </c>
      <c r="G2394" t="s">
        <v>22</v>
      </c>
      <c r="H2394">
        <v>2639.96</v>
      </c>
      <c r="I2394" t="str">
        <f>"Camphill Village Trust"</f>
        <v>Camphill Village Trust</v>
      </c>
      <c r="J2394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2395" spans="1:10" x14ac:dyDescent="0.35">
      <c r="A2395" t="str">
        <f t="shared" si="414"/>
        <v>FEB</v>
      </c>
      <c r="B2395" t="str">
        <f t="shared" si="419"/>
        <v>21</v>
      </c>
      <c r="C2395" t="str">
        <f t="shared" si="420"/>
        <v>2020/21</v>
      </c>
      <c r="D2395" t="str">
        <f>"SS SL 113560"</f>
        <v>SS SL 113560</v>
      </c>
      <c r="E2395" t="str">
        <f t="shared" si="421"/>
        <v>SS</v>
      </c>
      <c r="F2395" t="s">
        <v>25</v>
      </c>
      <c r="G2395" t="s">
        <v>22</v>
      </c>
      <c r="H2395">
        <v>2639.96</v>
      </c>
      <c r="I2395" t="str">
        <f>"Camphill Village Trust"</f>
        <v>Camphill Village Trust</v>
      </c>
      <c r="J2395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2396" spans="1:10" x14ac:dyDescent="0.35">
      <c r="A2396" t="str">
        <f t="shared" si="414"/>
        <v>FEB</v>
      </c>
      <c r="B2396" t="str">
        <f t="shared" si="419"/>
        <v>21</v>
      </c>
      <c r="C2396" t="str">
        <f t="shared" si="420"/>
        <v>2020/21</v>
      </c>
      <c r="D2396" t="str">
        <f>"SS SL 114907"</f>
        <v>SS SL 114907</v>
      </c>
      <c r="E2396" t="str">
        <f t="shared" si="421"/>
        <v>SS</v>
      </c>
      <c r="F2396" t="s">
        <v>25</v>
      </c>
      <c r="G2396" t="s">
        <v>22</v>
      </c>
      <c r="H2396">
        <v>13723.04</v>
      </c>
      <c r="I2396" t="str">
        <f t="shared" ref="I2396:I2405" si="425">"Possabilities CIC"</f>
        <v>Possabilities CIC</v>
      </c>
      <c r="J2396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2397" spans="1:10" x14ac:dyDescent="0.35">
      <c r="A2397" t="str">
        <f t="shared" si="414"/>
        <v>FEB</v>
      </c>
      <c r="B2397" t="str">
        <f t="shared" si="419"/>
        <v>21</v>
      </c>
      <c r="C2397" t="str">
        <f t="shared" si="420"/>
        <v>2020/21</v>
      </c>
      <c r="E2397" t="str">
        <f t="shared" si="421"/>
        <v/>
      </c>
      <c r="F2397" t="s">
        <v>25</v>
      </c>
      <c r="G2397" t="s">
        <v>22</v>
      </c>
      <c r="H2397">
        <v>18479</v>
      </c>
      <c r="I2397" t="str">
        <f t="shared" si="425"/>
        <v>Possabilities CIC</v>
      </c>
      <c r="J2397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2398" spans="1:10" x14ac:dyDescent="0.35">
      <c r="A2398" t="str">
        <f t="shared" si="414"/>
        <v>FEB</v>
      </c>
      <c r="B2398" t="str">
        <f t="shared" si="419"/>
        <v>21</v>
      </c>
      <c r="C2398" t="str">
        <f t="shared" si="420"/>
        <v>2020/21</v>
      </c>
      <c r="D2398" t="str">
        <f>"SS SL 114907"</f>
        <v>SS SL 114907</v>
      </c>
      <c r="E2398" t="str">
        <f t="shared" si="421"/>
        <v>SS</v>
      </c>
      <c r="F2398" t="s">
        <v>25</v>
      </c>
      <c r="G2398" t="s">
        <v>22</v>
      </c>
      <c r="H2398">
        <v>1533</v>
      </c>
      <c r="I2398" t="str">
        <f t="shared" si="425"/>
        <v>Possabilities CIC</v>
      </c>
      <c r="J2398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2399" spans="1:10" x14ac:dyDescent="0.35">
      <c r="A2399" t="str">
        <f t="shared" si="414"/>
        <v>FEB</v>
      </c>
      <c r="B2399" t="str">
        <f t="shared" si="419"/>
        <v>21</v>
      </c>
      <c r="C2399" t="str">
        <f t="shared" si="420"/>
        <v>2020/21</v>
      </c>
      <c r="D2399" t="str">
        <f>"SS SL 114907"</f>
        <v>SS SL 114907</v>
      </c>
      <c r="E2399" t="str">
        <f t="shared" si="421"/>
        <v>SS</v>
      </c>
      <c r="F2399" t="s">
        <v>25</v>
      </c>
      <c r="G2399" t="s">
        <v>22</v>
      </c>
      <c r="H2399">
        <v>5679.2</v>
      </c>
      <c r="I2399" t="str">
        <f t="shared" si="425"/>
        <v>Possabilities CIC</v>
      </c>
      <c r="J2399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2400" spans="1:10" x14ac:dyDescent="0.35">
      <c r="A2400" t="str">
        <f t="shared" si="414"/>
        <v>FEB</v>
      </c>
      <c r="B2400" t="str">
        <f t="shared" si="419"/>
        <v>21</v>
      </c>
      <c r="C2400" t="str">
        <f t="shared" si="420"/>
        <v>2020/21</v>
      </c>
      <c r="D2400" t="str">
        <f>"SS SL 114907"</f>
        <v>SS SL 114907</v>
      </c>
      <c r="E2400" t="str">
        <f t="shared" si="421"/>
        <v>SS</v>
      </c>
      <c r="F2400" t="s">
        <v>25</v>
      </c>
      <c r="G2400" t="s">
        <v>22</v>
      </c>
      <c r="H2400">
        <v>6595.2</v>
      </c>
      <c r="I2400" t="str">
        <f t="shared" si="425"/>
        <v>Possabilities CIC</v>
      </c>
      <c r="J2400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2401" spans="1:10" x14ac:dyDescent="0.35">
      <c r="A2401" t="str">
        <f t="shared" ref="A2401:A2464" si="426">"FEB"</f>
        <v>FEB</v>
      </c>
      <c r="B2401" t="str">
        <f t="shared" si="419"/>
        <v>21</v>
      </c>
      <c r="C2401" t="str">
        <f t="shared" si="420"/>
        <v>2020/21</v>
      </c>
      <c r="D2401" t="str">
        <f>"SS SL 114908"</f>
        <v>SS SL 114908</v>
      </c>
      <c r="E2401" t="str">
        <f t="shared" si="421"/>
        <v>SS</v>
      </c>
      <c r="F2401" t="s">
        <v>25</v>
      </c>
      <c r="G2401" t="s">
        <v>22</v>
      </c>
      <c r="H2401">
        <v>4259.3999999999996</v>
      </c>
      <c r="I2401" t="str">
        <f t="shared" si="425"/>
        <v>Possabilities CIC</v>
      </c>
      <c r="J2401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402" spans="1:10" x14ac:dyDescent="0.35">
      <c r="A2402" t="str">
        <f t="shared" si="426"/>
        <v>FEB</v>
      </c>
      <c r="B2402" t="str">
        <f t="shared" si="419"/>
        <v>21</v>
      </c>
      <c r="C2402" t="str">
        <f t="shared" si="420"/>
        <v>2020/21</v>
      </c>
      <c r="D2402" t="str">
        <f>"SS SL 114908"</f>
        <v>SS SL 114908</v>
      </c>
      <c r="E2402" t="str">
        <f t="shared" si="421"/>
        <v>SS</v>
      </c>
      <c r="F2402" t="s">
        <v>25</v>
      </c>
      <c r="G2402" t="s">
        <v>22</v>
      </c>
      <c r="H2402">
        <v>4259.3999999999996</v>
      </c>
      <c r="I2402" t="str">
        <f t="shared" si="425"/>
        <v>Possabilities CIC</v>
      </c>
      <c r="J2402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403" spans="1:10" x14ac:dyDescent="0.35">
      <c r="A2403" t="str">
        <f t="shared" si="426"/>
        <v>FEB</v>
      </c>
      <c r="B2403" t="str">
        <f t="shared" si="419"/>
        <v>21</v>
      </c>
      <c r="C2403" t="str">
        <f t="shared" si="420"/>
        <v>2020/21</v>
      </c>
      <c r="D2403" t="str">
        <f>"SS SL 114908"</f>
        <v>SS SL 114908</v>
      </c>
      <c r="E2403" t="str">
        <f t="shared" si="421"/>
        <v>SS</v>
      </c>
      <c r="F2403" t="s">
        <v>25</v>
      </c>
      <c r="G2403" t="s">
        <v>22</v>
      </c>
      <c r="H2403">
        <v>2564.8000000000002</v>
      </c>
      <c r="I2403" t="str">
        <f t="shared" si="425"/>
        <v>Possabilities CIC</v>
      </c>
      <c r="J2403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404" spans="1:10" x14ac:dyDescent="0.35">
      <c r="A2404" t="str">
        <f t="shared" si="426"/>
        <v>FEB</v>
      </c>
      <c r="B2404" t="str">
        <f t="shared" si="419"/>
        <v>21</v>
      </c>
      <c r="C2404" t="str">
        <f t="shared" si="420"/>
        <v>2020/21</v>
      </c>
      <c r="D2404" t="str">
        <f>"SS SL 114908"</f>
        <v>SS SL 114908</v>
      </c>
      <c r="E2404" t="str">
        <f t="shared" si="421"/>
        <v>SS</v>
      </c>
      <c r="F2404" t="s">
        <v>25</v>
      </c>
      <c r="G2404" t="s">
        <v>22</v>
      </c>
      <c r="H2404">
        <v>4259.3999999999996</v>
      </c>
      <c r="I2404" t="str">
        <f t="shared" si="425"/>
        <v>Possabilities CIC</v>
      </c>
      <c r="J2404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405" spans="1:10" x14ac:dyDescent="0.35">
      <c r="A2405" t="str">
        <f t="shared" si="426"/>
        <v>FEB</v>
      </c>
      <c r="B2405" t="str">
        <f t="shared" si="419"/>
        <v>21</v>
      </c>
      <c r="C2405" t="str">
        <f t="shared" si="420"/>
        <v>2020/21</v>
      </c>
      <c r="D2405" t="str">
        <f>"SS SL 114908"</f>
        <v>SS SL 114908</v>
      </c>
      <c r="E2405" t="str">
        <f t="shared" si="421"/>
        <v>SS</v>
      </c>
      <c r="F2405" t="s">
        <v>25</v>
      </c>
      <c r="G2405" t="s">
        <v>22</v>
      </c>
      <c r="H2405">
        <v>1533</v>
      </c>
      <c r="I2405" t="str">
        <f t="shared" si="425"/>
        <v>Possabilities CIC</v>
      </c>
      <c r="J2405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406" spans="1:10" x14ac:dyDescent="0.35">
      <c r="A2406" t="str">
        <f t="shared" si="426"/>
        <v>FEB</v>
      </c>
      <c r="B2406" t="str">
        <f t="shared" si="419"/>
        <v>21</v>
      </c>
      <c r="C2406" t="str">
        <f t="shared" si="420"/>
        <v>2020/21</v>
      </c>
      <c r="D2406" t="str">
        <f>"SS SL 114110"</f>
        <v>SS SL 114110</v>
      </c>
      <c r="E2406" t="str">
        <f t="shared" si="421"/>
        <v>SS</v>
      </c>
      <c r="F2406" t="s">
        <v>25</v>
      </c>
      <c r="G2406" t="s">
        <v>22</v>
      </c>
      <c r="H2406">
        <v>2656.18</v>
      </c>
      <c r="I2406" t="str">
        <f>"Turning Point Scotland Services"</f>
        <v>Turning Point Scotland Services</v>
      </c>
      <c r="J2406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2407" spans="1:10" x14ac:dyDescent="0.35">
      <c r="A2407" t="str">
        <f t="shared" si="426"/>
        <v>FEB</v>
      </c>
      <c r="B2407" t="str">
        <f t="shared" si="419"/>
        <v>21</v>
      </c>
      <c r="C2407" t="str">
        <f t="shared" si="420"/>
        <v>2020/21</v>
      </c>
      <c r="D2407" t="str">
        <f>"SS SL 114110"</f>
        <v>SS SL 114110</v>
      </c>
      <c r="E2407" t="str">
        <f t="shared" si="421"/>
        <v>SS</v>
      </c>
      <c r="F2407" t="s">
        <v>25</v>
      </c>
      <c r="G2407" t="s">
        <v>22</v>
      </c>
      <c r="H2407">
        <v>2656.18</v>
      </c>
      <c r="I2407" t="str">
        <f>"Turning Point Scotland Services"</f>
        <v>Turning Point Scotland Services</v>
      </c>
      <c r="J2407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2408" spans="1:10" x14ac:dyDescent="0.35">
      <c r="A2408" t="str">
        <f t="shared" si="426"/>
        <v>FEB</v>
      </c>
      <c r="B2408" t="str">
        <f t="shared" si="419"/>
        <v>21</v>
      </c>
      <c r="C2408" t="str">
        <f t="shared" si="420"/>
        <v>2020/21</v>
      </c>
      <c r="D2408" t="str">
        <f t="shared" ref="D2408:D2425" si="427">"SS SL 114846"</f>
        <v>SS SL 114846</v>
      </c>
      <c r="E2408" t="str">
        <f t="shared" si="421"/>
        <v>SS</v>
      </c>
      <c r="F2408" t="s">
        <v>25</v>
      </c>
      <c r="G2408" t="s">
        <v>22</v>
      </c>
      <c r="H2408">
        <v>2284.8200000000002</v>
      </c>
      <c r="I2408" t="str">
        <f t="shared" ref="I2408:I2425" si="428">"The Mayfield Trust"</f>
        <v>The Mayfield Trust</v>
      </c>
      <c r="J2408" t="str">
        <f t="shared" ref="J2408:J2425" si="429">"Pye Nest Road (Mayfield Trust) Private Contractors Agency And Contracted Services Supported Living Adult Health &amp; Social Care"</f>
        <v>Pye Nest Road (Mayfield Trust) Private Contractors Agency And Contracted Services Supported Living Adult Health &amp; Social Care</v>
      </c>
    </row>
    <row r="2409" spans="1:10" x14ac:dyDescent="0.35">
      <c r="A2409" t="str">
        <f t="shared" si="426"/>
        <v>FEB</v>
      </c>
      <c r="B2409" t="str">
        <f t="shared" si="419"/>
        <v>21</v>
      </c>
      <c r="C2409" t="str">
        <f t="shared" si="420"/>
        <v>2020/21</v>
      </c>
      <c r="D2409" t="str">
        <f t="shared" si="427"/>
        <v>SS SL 114846</v>
      </c>
      <c r="E2409" t="str">
        <f t="shared" si="421"/>
        <v>SS</v>
      </c>
      <c r="F2409" t="s">
        <v>25</v>
      </c>
      <c r="G2409" t="s">
        <v>22</v>
      </c>
      <c r="H2409">
        <v>2921.6</v>
      </c>
      <c r="I2409" t="str">
        <f t="shared" si="428"/>
        <v>The Mayfield Trust</v>
      </c>
      <c r="J2409" t="str">
        <f t="shared" si="429"/>
        <v>Pye Nest Road (Mayfield Trust) Private Contractors Agency And Contracted Services Supported Living Adult Health &amp; Social Care</v>
      </c>
    </row>
    <row r="2410" spans="1:10" x14ac:dyDescent="0.35">
      <c r="A2410" t="str">
        <f t="shared" si="426"/>
        <v>FEB</v>
      </c>
      <c r="B2410" t="str">
        <f t="shared" si="419"/>
        <v>21</v>
      </c>
      <c r="C2410" t="str">
        <f t="shared" si="420"/>
        <v>2020/21</v>
      </c>
      <c r="D2410" t="str">
        <f t="shared" si="427"/>
        <v>SS SL 114846</v>
      </c>
      <c r="E2410" t="str">
        <f t="shared" si="421"/>
        <v>SS</v>
      </c>
      <c r="F2410" t="s">
        <v>25</v>
      </c>
      <c r="G2410" t="s">
        <v>22</v>
      </c>
      <c r="H2410">
        <v>-0.02</v>
      </c>
      <c r="I2410" t="str">
        <f t="shared" si="428"/>
        <v>The Mayfield Trust</v>
      </c>
      <c r="J2410" t="str">
        <f t="shared" si="429"/>
        <v>Pye Nest Road (Mayfield Trust) Private Contractors Agency And Contracted Services Supported Living Adult Health &amp; Social Care</v>
      </c>
    </row>
    <row r="2411" spans="1:10" x14ac:dyDescent="0.35">
      <c r="A2411" t="str">
        <f t="shared" si="426"/>
        <v>FEB</v>
      </c>
      <c r="B2411" t="str">
        <f t="shared" si="419"/>
        <v>21</v>
      </c>
      <c r="C2411" t="str">
        <f t="shared" si="420"/>
        <v>2020/21</v>
      </c>
      <c r="D2411" t="str">
        <f t="shared" si="427"/>
        <v>SS SL 114846</v>
      </c>
      <c r="E2411" t="str">
        <f t="shared" si="421"/>
        <v>SS</v>
      </c>
      <c r="F2411" t="s">
        <v>25</v>
      </c>
      <c r="G2411" t="s">
        <v>22</v>
      </c>
      <c r="H2411">
        <v>2622.8</v>
      </c>
      <c r="I2411" t="str">
        <f t="shared" si="428"/>
        <v>The Mayfield Trust</v>
      </c>
      <c r="J2411" t="str">
        <f t="shared" si="429"/>
        <v>Pye Nest Road (Mayfield Trust) Private Contractors Agency And Contracted Services Supported Living Adult Health &amp; Social Care</v>
      </c>
    </row>
    <row r="2412" spans="1:10" x14ac:dyDescent="0.35">
      <c r="A2412" t="str">
        <f t="shared" si="426"/>
        <v>FEB</v>
      </c>
      <c r="B2412" t="str">
        <f t="shared" si="419"/>
        <v>21</v>
      </c>
      <c r="C2412" t="str">
        <f t="shared" si="420"/>
        <v>2020/21</v>
      </c>
      <c r="D2412" t="str">
        <f t="shared" si="427"/>
        <v>SS SL 114846</v>
      </c>
      <c r="E2412" t="str">
        <f t="shared" si="421"/>
        <v>SS</v>
      </c>
      <c r="F2412" t="s">
        <v>25</v>
      </c>
      <c r="G2412" t="s">
        <v>22</v>
      </c>
      <c r="H2412">
        <v>2556.4</v>
      </c>
      <c r="I2412" t="str">
        <f t="shared" si="428"/>
        <v>The Mayfield Trust</v>
      </c>
      <c r="J2412" t="str">
        <f t="shared" si="429"/>
        <v>Pye Nest Road (Mayfield Trust) Private Contractors Agency And Contracted Services Supported Living Adult Health &amp; Social Care</v>
      </c>
    </row>
    <row r="2413" spans="1:10" x14ac:dyDescent="0.35">
      <c r="A2413" t="str">
        <f t="shared" si="426"/>
        <v>FEB</v>
      </c>
      <c r="B2413" t="str">
        <f t="shared" si="419"/>
        <v>21</v>
      </c>
      <c r="C2413" t="str">
        <f t="shared" si="420"/>
        <v>2020/21</v>
      </c>
      <c r="D2413" t="str">
        <f t="shared" si="427"/>
        <v>SS SL 114846</v>
      </c>
      <c r="E2413" t="str">
        <f t="shared" si="421"/>
        <v>SS</v>
      </c>
      <c r="F2413" t="s">
        <v>25</v>
      </c>
      <c r="G2413" t="s">
        <v>22</v>
      </c>
      <c r="H2413">
        <v>1826</v>
      </c>
      <c r="I2413" t="str">
        <f t="shared" si="428"/>
        <v>The Mayfield Trust</v>
      </c>
      <c r="J2413" t="str">
        <f t="shared" si="429"/>
        <v>Pye Nest Road (Mayfield Trust) Private Contractors Agency And Contracted Services Supported Living Adult Health &amp; Social Care</v>
      </c>
    </row>
    <row r="2414" spans="1:10" x14ac:dyDescent="0.35">
      <c r="A2414" t="str">
        <f t="shared" si="426"/>
        <v>FEB</v>
      </c>
      <c r="B2414" t="str">
        <f t="shared" si="419"/>
        <v>21</v>
      </c>
      <c r="C2414" t="str">
        <f t="shared" si="420"/>
        <v>2020/21</v>
      </c>
      <c r="D2414" t="str">
        <f t="shared" si="427"/>
        <v>SS SL 114846</v>
      </c>
      <c r="E2414" t="str">
        <f t="shared" si="421"/>
        <v>SS</v>
      </c>
      <c r="F2414" t="s">
        <v>25</v>
      </c>
      <c r="G2414" t="s">
        <v>22</v>
      </c>
      <c r="H2414">
        <v>2921.6</v>
      </c>
      <c r="I2414" t="str">
        <f t="shared" si="428"/>
        <v>The Mayfield Trust</v>
      </c>
      <c r="J2414" t="str">
        <f t="shared" si="429"/>
        <v>Pye Nest Road (Mayfield Trust) Private Contractors Agency And Contracted Services Supported Living Adult Health &amp; Social Care</v>
      </c>
    </row>
    <row r="2415" spans="1:10" x14ac:dyDescent="0.35">
      <c r="A2415" t="str">
        <f t="shared" si="426"/>
        <v>FEB</v>
      </c>
      <c r="B2415" t="str">
        <f t="shared" si="419"/>
        <v>21</v>
      </c>
      <c r="C2415" t="str">
        <f t="shared" si="420"/>
        <v>2020/21</v>
      </c>
      <c r="D2415" t="str">
        <f t="shared" si="427"/>
        <v>SS SL 114846</v>
      </c>
      <c r="E2415" t="str">
        <f t="shared" si="421"/>
        <v>SS</v>
      </c>
      <c r="F2415" t="s">
        <v>25</v>
      </c>
      <c r="G2415" t="s">
        <v>22</v>
      </c>
      <c r="H2415">
        <v>2556.4</v>
      </c>
      <c r="I2415" t="str">
        <f t="shared" si="428"/>
        <v>The Mayfield Trust</v>
      </c>
      <c r="J2415" t="str">
        <f t="shared" si="429"/>
        <v>Pye Nest Road (Mayfield Trust) Private Contractors Agency And Contracted Services Supported Living Adult Health &amp; Social Care</v>
      </c>
    </row>
    <row r="2416" spans="1:10" x14ac:dyDescent="0.35">
      <c r="A2416" t="str">
        <f t="shared" si="426"/>
        <v>FEB</v>
      </c>
      <c r="B2416" t="str">
        <f t="shared" si="419"/>
        <v>21</v>
      </c>
      <c r="C2416" t="str">
        <f t="shared" si="420"/>
        <v>2020/21</v>
      </c>
      <c r="D2416" t="str">
        <f t="shared" si="427"/>
        <v>SS SL 114846</v>
      </c>
      <c r="E2416" t="str">
        <f t="shared" si="421"/>
        <v>SS</v>
      </c>
      <c r="F2416" t="s">
        <v>25</v>
      </c>
      <c r="G2416" t="s">
        <v>22</v>
      </c>
      <c r="H2416">
        <v>2921.6</v>
      </c>
      <c r="I2416" t="str">
        <f t="shared" si="428"/>
        <v>The Mayfield Trust</v>
      </c>
      <c r="J2416" t="str">
        <f t="shared" si="429"/>
        <v>Pye Nest Road (Mayfield Trust) Private Contractors Agency And Contracted Services Supported Living Adult Health &amp; Social Care</v>
      </c>
    </row>
    <row r="2417" spans="1:10" x14ac:dyDescent="0.35">
      <c r="A2417" t="str">
        <f t="shared" si="426"/>
        <v>FEB</v>
      </c>
      <c r="B2417" t="str">
        <f t="shared" si="419"/>
        <v>21</v>
      </c>
      <c r="C2417" t="str">
        <f t="shared" si="420"/>
        <v>2020/21</v>
      </c>
      <c r="D2417" t="str">
        <f t="shared" si="427"/>
        <v>SS SL 114846</v>
      </c>
      <c r="E2417" t="str">
        <f t="shared" si="421"/>
        <v>SS</v>
      </c>
      <c r="F2417" t="s">
        <v>25</v>
      </c>
      <c r="G2417" t="s">
        <v>22</v>
      </c>
      <c r="H2417">
        <v>2921.6</v>
      </c>
      <c r="I2417" t="str">
        <f t="shared" si="428"/>
        <v>The Mayfield Trust</v>
      </c>
      <c r="J2417" t="str">
        <f t="shared" si="429"/>
        <v>Pye Nest Road (Mayfield Trust) Private Contractors Agency And Contracted Services Supported Living Adult Health &amp; Social Care</v>
      </c>
    </row>
    <row r="2418" spans="1:10" x14ac:dyDescent="0.35">
      <c r="A2418" t="str">
        <f t="shared" si="426"/>
        <v>FEB</v>
      </c>
      <c r="B2418" t="str">
        <f t="shared" si="419"/>
        <v>21</v>
      </c>
      <c r="C2418" t="str">
        <f t="shared" si="420"/>
        <v>2020/21</v>
      </c>
      <c r="D2418" t="str">
        <f t="shared" si="427"/>
        <v>SS SL 114846</v>
      </c>
      <c r="E2418" t="str">
        <f t="shared" si="421"/>
        <v>SS</v>
      </c>
      <c r="F2418" t="s">
        <v>25</v>
      </c>
      <c r="G2418" t="s">
        <v>22</v>
      </c>
      <c r="H2418">
        <v>2622.8</v>
      </c>
      <c r="I2418" t="str">
        <f t="shared" si="428"/>
        <v>The Mayfield Trust</v>
      </c>
      <c r="J2418" t="str">
        <f t="shared" si="429"/>
        <v>Pye Nest Road (Mayfield Trust) Private Contractors Agency And Contracted Services Supported Living Adult Health &amp; Social Care</v>
      </c>
    </row>
    <row r="2419" spans="1:10" x14ac:dyDescent="0.35">
      <c r="A2419" t="str">
        <f t="shared" si="426"/>
        <v>FEB</v>
      </c>
      <c r="B2419" t="str">
        <f t="shared" ref="B2419:B2482" si="430">"21"</f>
        <v>21</v>
      </c>
      <c r="C2419" t="str">
        <f t="shared" si="420"/>
        <v>2020/21</v>
      </c>
      <c r="D2419" t="str">
        <f t="shared" si="427"/>
        <v>SS SL 114846</v>
      </c>
      <c r="E2419" t="str">
        <f t="shared" si="421"/>
        <v>SS</v>
      </c>
      <c r="F2419" t="s">
        <v>25</v>
      </c>
      <c r="G2419" t="s">
        <v>22</v>
      </c>
      <c r="H2419">
        <v>1826</v>
      </c>
      <c r="I2419" t="str">
        <f t="shared" si="428"/>
        <v>The Mayfield Trust</v>
      </c>
      <c r="J2419" t="str">
        <f t="shared" si="429"/>
        <v>Pye Nest Road (Mayfield Trust) Private Contractors Agency And Contracted Services Supported Living Adult Health &amp; Social Care</v>
      </c>
    </row>
    <row r="2420" spans="1:10" x14ac:dyDescent="0.35">
      <c r="A2420" t="str">
        <f t="shared" si="426"/>
        <v>FEB</v>
      </c>
      <c r="B2420" t="str">
        <f t="shared" si="430"/>
        <v>21</v>
      </c>
      <c r="C2420" t="str">
        <f t="shared" si="420"/>
        <v>2020/21</v>
      </c>
      <c r="D2420" t="str">
        <f t="shared" si="427"/>
        <v>SS SL 114846</v>
      </c>
      <c r="E2420" t="str">
        <f t="shared" si="421"/>
        <v>SS</v>
      </c>
      <c r="F2420" t="s">
        <v>25</v>
      </c>
      <c r="G2420" t="s">
        <v>22</v>
      </c>
      <c r="H2420">
        <v>2284.8000000000002</v>
      </c>
      <c r="I2420" t="str">
        <f t="shared" si="428"/>
        <v>The Mayfield Trust</v>
      </c>
      <c r="J2420" t="str">
        <f t="shared" si="429"/>
        <v>Pye Nest Road (Mayfield Trust) Private Contractors Agency And Contracted Services Supported Living Adult Health &amp; Social Care</v>
      </c>
    </row>
    <row r="2421" spans="1:10" x14ac:dyDescent="0.35">
      <c r="A2421" t="str">
        <f t="shared" si="426"/>
        <v>FEB</v>
      </c>
      <c r="B2421" t="str">
        <f t="shared" si="430"/>
        <v>21</v>
      </c>
      <c r="C2421" t="str">
        <f t="shared" si="420"/>
        <v>2020/21</v>
      </c>
      <c r="D2421" t="str">
        <f t="shared" si="427"/>
        <v>SS SL 114846</v>
      </c>
      <c r="E2421" t="str">
        <f t="shared" si="421"/>
        <v>SS</v>
      </c>
      <c r="F2421" t="s">
        <v>25</v>
      </c>
      <c r="G2421" t="s">
        <v>22</v>
      </c>
      <c r="H2421">
        <v>6136</v>
      </c>
      <c r="I2421" t="str">
        <f t="shared" si="428"/>
        <v>The Mayfield Trust</v>
      </c>
      <c r="J2421" t="str">
        <f t="shared" si="429"/>
        <v>Pye Nest Road (Mayfield Trust) Private Contractors Agency And Contracted Services Supported Living Adult Health &amp; Social Care</v>
      </c>
    </row>
    <row r="2422" spans="1:10" x14ac:dyDescent="0.35">
      <c r="A2422" t="str">
        <f t="shared" si="426"/>
        <v>FEB</v>
      </c>
      <c r="B2422" t="str">
        <f t="shared" si="430"/>
        <v>21</v>
      </c>
      <c r="C2422" t="str">
        <f t="shared" si="420"/>
        <v>2020/21</v>
      </c>
      <c r="D2422" t="str">
        <f t="shared" si="427"/>
        <v>SS SL 114846</v>
      </c>
      <c r="E2422" t="str">
        <f t="shared" si="421"/>
        <v>SS</v>
      </c>
      <c r="F2422" t="s">
        <v>25</v>
      </c>
      <c r="G2422" t="s">
        <v>22</v>
      </c>
      <c r="H2422">
        <v>2556.4</v>
      </c>
      <c r="I2422" t="str">
        <f t="shared" si="428"/>
        <v>The Mayfield Trust</v>
      </c>
      <c r="J2422" t="str">
        <f t="shared" si="429"/>
        <v>Pye Nest Road (Mayfield Trust) Private Contractors Agency And Contracted Services Supported Living Adult Health &amp; Social Care</v>
      </c>
    </row>
    <row r="2423" spans="1:10" x14ac:dyDescent="0.35">
      <c r="A2423" t="str">
        <f t="shared" si="426"/>
        <v>FEB</v>
      </c>
      <c r="B2423" t="str">
        <f t="shared" si="430"/>
        <v>21</v>
      </c>
      <c r="C2423" t="str">
        <f t="shared" si="420"/>
        <v>2020/21</v>
      </c>
      <c r="D2423" t="str">
        <f t="shared" si="427"/>
        <v>SS SL 114846</v>
      </c>
      <c r="E2423" t="str">
        <f t="shared" si="421"/>
        <v>SS</v>
      </c>
      <c r="F2423" t="s">
        <v>25</v>
      </c>
      <c r="G2423" t="s">
        <v>22</v>
      </c>
      <c r="H2423">
        <v>1826</v>
      </c>
      <c r="I2423" t="str">
        <f t="shared" si="428"/>
        <v>The Mayfield Trust</v>
      </c>
      <c r="J2423" t="str">
        <f t="shared" si="429"/>
        <v>Pye Nest Road (Mayfield Trust) Private Contractors Agency And Contracted Services Supported Living Adult Health &amp; Social Care</v>
      </c>
    </row>
    <row r="2424" spans="1:10" x14ac:dyDescent="0.35">
      <c r="A2424" t="str">
        <f t="shared" si="426"/>
        <v>FEB</v>
      </c>
      <c r="B2424" t="str">
        <f t="shared" si="430"/>
        <v>21</v>
      </c>
      <c r="C2424" t="str">
        <f t="shared" si="420"/>
        <v>2020/21</v>
      </c>
      <c r="D2424" t="str">
        <f t="shared" si="427"/>
        <v>SS SL 114846</v>
      </c>
      <c r="E2424" t="str">
        <f t="shared" si="421"/>
        <v>SS</v>
      </c>
      <c r="F2424" t="s">
        <v>25</v>
      </c>
      <c r="G2424" t="s">
        <v>22</v>
      </c>
      <c r="H2424">
        <v>2921.6</v>
      </c>
      <c r="I2424" t="str">
        <f t="shared" si="428"/>
        <v>The Mayfield Trust</v>
      </c>
      <c r="J2424" t="str">
        <f t="shared" si="429"/>
        <v>Pye Nest Road (Mayfield Trust) Private Contractors Agency And Contracted Services Supported Living Adult Health &amp; Social Care</v>
      </c>
    </row>
    <row r="2425" spans="1:10" x14ac:dyDescent="0.35">
      <c r="A2425" t="str">
        <f t="shared" si="426"/>
        <v>FEB</v>
      </c>
      <c r="B2425" t="str">
        <f t="shared" si="430"/>
        <v>21</v>
      </c>
      <c r="C2425" t="str">
        <f t="shared" si="420"/>
        <v>2020/21</v>
      </c>
      <c r="D2425" t="str">
        <f t="shared" si="427"/>
        <v>SS SL 114846</v>
      </c>
      <c r="E2425" t="str">
        <f t="shared" si="421"/>
        <v>SS</v>
      </c>
      <c r="F2425" t="s">
        <v>25</v>
      </c>
      <c r="G2425" t="s">
        <v>22</v>
      </c>
      <c r="H2425">
        <v>2921.6</v>
      </c>
      <c r="I2425" t="str">
        <f t="shared" si="428"/>
        <v>The Mayfield Trust</v>
      </c>
      <c r="J2425" t="str">
        <f t="shared" si="429"/>
        <v>Pye Nest Road (Mayfield Trust) Private Contractors Agency And Contracted Services Supported Living Adult Health &amp; Social Care</v>
      </c>
    </row>
    <row r="2426" spans="1:10" x14ac:dyDescent="0.35">
      <c r="A2426" t="str">
        <f t="shared" si="426"/>
        <v>FEB</v>
      </c>
      <c r="B2426" t="str">
        <f t="shared" si="430"/>
        <v>21</v>
      </c>
      <c r="C2426" t="str">
        <f t="shared" si="420"/>
        <v>2020/21</v>
      </c>
      <c r="D2426" t="str">
        <f t="shared" ref="D2426:D2431" si="431">"SS SL 114881"</f>
        <v>SS SL 114881</v>
      </c>
      <c r="E2426" t="str">
        <f t="shared" si="421"/>
        <v>SS</v>
      </c>
      <c r="F2426" t="s">
        <v>25</v>
      </c>
      <c r="G2426" t="s">
        <v>22</v>
      </c>
      <c r="H2426">
        <v>3718.4</v>
      </c>
      <c r="I2426" t="str">
        <f t="shared" ref="I2426:I2436" si="432">"Creative Support Ltd"</f>
        <v>Creative Support Ltd</v>
      </c>
      <c r="J2426" t="str">
        <f t="shared" ref="J2426:J2431" si="433"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2427" spans="1:10" x14ac:dyDescent="0.35">
      <c r="A2427" t="str">
        <f t="shared" si="426"/>
        <v>FEB</v>
      </c>
      <c r="B2427" t="str">
        <f t="shared" si="430"/>
        <v>21</v>
      </c>
      <c r="C2427" t="str">
        <f t="shared" si="420"/>
        <v>2020/21</v>
      </c>
      <c r="D2427" t="str">
        <f t="shared" si="431"/>
        <v>SS SL 114881</v>
      </c>
      <c r="E2427" t="str">
        <f t="shared" si="421"/>
        <v>SS</v>
      </c>
      <c r="F2427" t="s">
        <v>25</v>
      </c>
      <c r="G2427" t="s">
        <v>22</v>
      </c>
      <c r="H2427">
        <v>3452.8</v>
      </c>
      <c r="I2427" t="str">
        <f t="shared" si="432"/>
        <v>Creative Support Ltd</v>
      </c>
      <c r="J2427" t="str">
        <f t="shared" si="433"/>
        <v>92 Highfield Road (Creative Support) Private Contractors Agency And Contracted Services Supported Living Adult Health &amp; Social Care</v>
      </c>
    </row>
    <row r="2428" spans="1:10" x14ac:dyDescent="0.35">
      <c r="A2428" t="str">
        <f t="shared" si="426"/>
        <v>FEB</v>
      </c>
      <c r="B2428" t="str">
        <f t="shared" si="430"/>
        <v>21</v>
      </c>
      <c r="C2428" t="str">
        <f t="shared" si="420"/>
        <v>2020/21</v>
      </c>
      <c r="D2428" t="str">
        <f t="shared" si="431"/>
        <v>SS SL 114881</v>
      </c>
      <c r="E2428" t="str">
        <f t="shared" si="421"/>
        <v>SS</v>
      </c>
      <c r="F2428" t="s">
        <v>25</v>
      </c>
      <c r="G2428" t="s">
        <v>22</v>
      </c>
      <c r="H2428">
        <v>3021.2</v>
      </c>
      <c r="I2428" t="str">
        <f t="shared" si="432"/>
        <v>Creative Support Ltd</v>
      </c>
      <c r="J2428" t="str">
        <f t="shared" si="433"/>
        <v>92 Highfield Road (Creative Support) Private Contractors Agency And Contracted Services Supported Living Adult Health &amp; Social Care</v>
      </c>
    </row>
    <row r="2429" spans="1:10" x14ac:dyDescent="0.35">
      <c r="A2429" t="str">
        <f t="shared" si="426"/>
        <v>FEB</v>
      </c>
      <c r="B2429" t="str">
        <f t="shared" si="430"/>
        <v>21</v>
      </c>
      <c r="C2429" t="str">
        <f t="shared" si="420"/>
        <v>2020/21</v>
      </c>
      <c r="D2429" t="str">
        <f t="shared" si="431"/>
        <v>SS SL 114881</v>
      </c>
      <c r="E2429" t="str">
        <f t="shared" si="421"/>
        <v>SS</v>
      </c>
      <c r="F2429" t="s">
        <v>25</v>
      </c>
      <c r="G2429" t="s">
        <v>22</v>
      </c>
      <c r="H2429">
        <v>6208.4</v>
      </c>
      <c r="I2429" t="str">
        <f t="shared" si="432"/>
        <v>Creative Support Ltd</v>
      </c>
      <c r="J2429" t="str">
        <f t="shared" si="433"/>
        <v>92 Highfield Road (Creative Support) Private Contractors Agency And Contracted Services Supported Living Adult Health &amp; Social Care</v>
      </c>
    </row>
    <row r="2430" spans="1:10" x14ac:dyDescent="0.35">
      <c r="A2430" t="str">
        <f t="shared" si="426"/>
        <v>FEB</v>
      </c>
      <c r="B2430" t="str">
        <f t="shared" si="430"/>
        <v>21</v>
      </c>
      <c r="C2430" t="str">
        <f t="shared" si="420"/>
        <v>2020/21</v>
      </c>
      <c r="D2430" t="str">
        <f t="shared" si="431"/>
        <v>SS SL 114881</v>
      </c>
      <c r="E2430" t="str">
        <f t="shared" si="421"/>
        <v>SS</v>
      </c>
      <c r="F2430" t="s">
        <v>25</v>
      </c>
      <c r="G2430" t="s">
        <v>22</v>
      </c>
      <c r="H2430">
        <v>6772.8</v>
      </c>
      <c r="I2430" t="str">
        <f t="shared" si="432"/>
        <v>Creative Support Ltd</v>
      </c>
      <c r="J2430" t="str">
        <f t="shared" si="433"/>
        <v>92 Highfield Road (Creative Support) Private Contractors Agency And Contracted Services Supported Living Adult Health &amp; Social Care</v>
      </c>
    </row>
    <row r="2431" spans="1:10" x14ac:dyDescent="0.35">
      <c r="A2431" t="str">
        <f t="shared" si="426"/>
        <v>FEB</v>
      </c>
      <c r="B2431" t="str">
        <f t="shared" si="430"/>
        <v>21</v>
      </c>
      <c r="C2431" t="str">
        <f t="shared" si="420"/>
        <v>2020/21</v>
      </c>
      <c r="D2431" t="str">
        <f t="shared" si="431"/>
        <v>SS SL 114881</v>
      </c>
      <c r="E2431" t="str">
        <f t="shared" si="421"/>
        <v>SS</v>
      </c>
      <c r="F2431" t="s">
        <v>25</v>
      </c>
      <c r="G2431" t="s">
        <v>22</v>
      </c>
      <c r="H2431">
        <v>4946.8</v>
      </c>
      <c r="I2431" t="str">
        <f t="shared" si="432"/>
        <v>Creative Support Ltd</v>
      </c>
      <c r="J2431" t="str">
        <f t="shared" si="433"/>
        <v>92 Highfield Road (Creative Support) Private Contractors Agency And Contracted Services Supported Living Adult Health &amp; Social Care</v>
      </c>
    </row>
    <row r="2432" spans="1:10" x14ac:dyDescent="0.35">
      <c r="A2432" t="str">
        <f t="shared" si="426"/>
        <v>FEB</v>
      </c>
      <c r="B2432" t="str">
        <f t="shared" si="430"/>
        <v>21</v>
      </c>
      <c r="C2432" t="str">
        <f t="shared" si="420"/>
        <v>2020/21</v>
      </c>
      <c r="D2432" t="str">
        <f>"SS SL 114893"</f>
        <v>SS SL 114893</v>
      </c>
      <c r="E2432" t="str">
        <f t="shared" si="421"/>
        <v>SS</v>
      </c>
      <c r="F2432" t="s">
        <v>25</v>
      </c>
      <c r="G2432" t="s">
        <v>22</v>
      </c>
      <c r="H2432">
        <v>2921.6</v>
      </c>
      <c r="I2432" t="str">
        <f t="shared" si="432"/>
        <v>Creative Support Ltd</v>
      </c>
      <c r="J2432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2433" spans="1:10" x14ac:dyDescent="0.35">
      <c r="A2433" t="str">
        <f t="shared" si="426"/>
        <v>FEB</v>
      </c>
      <c r="B2433" t="str">
        <f t="shared" si="430"/>
        <v>21</v>
      </c>
      <c r="C2433" t="str">
        <f t="shared" si="420"/>
        <v>2020/21</v>
      </c>
      <c r="D2433" t="str">
        <f>"SS SL 114893"</f>
        <v>SS SL 114893</v>
      </c>
      <c r="E2433" t="str">
        <f t="shared" si="421"/>
        <v>SS</v>
      </c>
      <c r="F2433" t="s">
        <v>25</v>
      </c>
      <c r="G2433" t="s">
        <v>22</v>
      </c>
      <c r="H2433">
        <v>3984</v>
      </c>
      <c r="I2433" t="str">
        <f t="shared" si="432"/>
        <v>Creative Support Ltd</v>
      </c>
      <c r="J2433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2434" spans="1:10" x14ac:dyDescent="0.35">
      <c r="A2434" t="str">
        <f t="shared" si="426"/>
        <v>FEB</v>
      </c>
      <c r="B2434" t="str">
        <f t="shared" si="430"/>
        <v>21</v>
      </c>
      <c r="C2434" t="str">
        <f t="shared" ref="C2434:C2497" si="434">"2020/21"</f>
        <v>2020/21</v>
      </c>
      <c r="D2434" t="str">
        <f>"SS SL 114893"</f>
        <v>SS SL 114893</v>
      </c>
      <c r="E2434" t="str">
        <f t="shared" ref="E2434:E2497" si="435">LEFT(D2434,2)</f>
        <v>SS</v>
      </c>
      <c r="F2434" t="s">
        <v>25</v>
      </c>
      <c r="G2434" t="s">
        <v>22</v>
      </c>
      <c r="H2434">
        <v>2284.8000000000002</v>
      </c>
      <c r="I2434" t="str">
        <f t="shared" si="432"/>
        <v>Creative Support Ltd</v>
      </c>
      <c r="J2434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2435" spans="1:10" x14ac:dyDescent="0.35">
      <c r="A2435" t="str">
        <f t="shared" si="426"/>
        <v>FEB</v>
      </c>
      <c r="B2435" t="str">
        <f t="shared" si="430"/>
        <v>21</v>
      </c>
      <c r="C2435" t="str">
        <f t="shared" si="434"/>
        <v>2020/21</v>
      </c>
      <c r="D2435" t="str">
        <f>"SS SL 114893"</f>
        <v>SS SL 114893</v>
      </c>
      <c r="E2435" t="str">
        <f t="shared" si="435"/>
        <v>SS</v>
      </c>
      <c r="F2435" t="s">
        <v>25</v>
      </c>
      <c r="G2435" t="s">
        <v>22</v>
      </c>
      <c r="H2435">
        <v>3452.8</v>
      </c>
      <c r="I2435" t="str">
        <f t="shared" si="432"/>
        <v>Creative Support Ltd</v>
      </c>
      <c r="J2435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2436" spans="1:10" x14ac:dyDescent="0.35">
      <c r="A2436" t="str">
        <f t="shared" si="426"/>
        <v>FEB</v>
      </c>
      <c r="B2436" t="str">
        <f t="shared" si="430"/>
        <v>21</v>
      </c>
      <c r="C2436" t="str">
        <f t="shared" si="434"/>
        <v>2020/21</v>
      </c>
      <c r="D2436" t="str">
        <f>"SS SL 114893"</f>
        <v>SS SL 114893</v>
      </c>
      <c r="E2436" t="str">
        <f t="shared" si="435"/>
        <v>SS</v>
      </c>
      <c r="F2436" t="s">
        <v>25</v>
      </c>
      <c r="G2436" t="s">
        <v>22</v>
      </c>
      <c r="H2436">
        <v>2191.1999999999998</v>
      </c>
      <c r="I2436" t="str">
        <f t="shared" si="432"/>
        <v>Creative Support Ltd</v>
      </c>
      <c r="J2436" t="str">
        <f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2437" spans="1:10" x14ac:dyDescent="0.35">
      <c r="A2437" t="str">
        <f t="shared" si="426"/>
        <v>FEB</v>
      </c>
      <c r="B2437" t="str">
        <f t="shared" si="430"/>
        <v>21</v>
      </c>
      <c r="C2437" t="str">
        <f t="shared" si="434"/>
        <v>2020/21</v>
      </c>
      <c r="D2437" t="str">
        <f>"SS SL 114903"</f>
        <v>SS SL 114903</v>
      </c>
      <c r="E2437" t="str">
        <f t="shared" si="435"/>
        <v>SS</v>
      </c>
      <c r="F2437" t="s">
        <v>25</v>
      </c>
      <c r="G2437" t="s">
        <v>22</v>
      </c>
      <c r="H2437">
        <v>3625.6</v>
      </c>
      <c r="I2437" t="str">
        <f t="shared" ref="I2437:I2462" si="436">"Future Directions CIC"</f>
        <v>Future Directions CIC</v>
      </c>
      <c r="J2437" t="str">
        <f t="shared" ref="J2437:J2462" si="437"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2438" spans="1:10" x14ac:dyDescent="0.35">
      <c r="A2438" t="str">
        <f t="shared" si="426"/>
        <v>FEB</v>
      </c>
      <c r="B2438" t="str">
        <f t="shared" si="430"/>
        <v>21</v>
      </c>
      <c r="C2438" t="str">
        <f t="shared" si="434"/>
        <v>2020/21</v>
      </c>
      <c r="D2438" t="str">
        <f>"SS SL 114904"</f>
        <v>SS SL 114904</v>
      </c>
      <c r="E2438" t="str">
        <f t="shared" si="435"/>
        <v>SS</v>
      </c>
      <c r="F2438" t="s">
        <v>25</v>
      </c>
      <c r="G2438" t="s">
        <v>22</v>
      </c>
      <c r="H2438">
        <v>3130.92</v>
      </c>
      <c r="I2438" t="str">
        <f t="shared" si="436"/>
        <v>Future Directions CIC</v>
      </c>
      <c r="J2438" t="str">
        <f t="shared" si="437"/>
        <v>Endeavour House (Future Directions) Private Contractors Agency And Contracted Services Supported Living Adult Health &amp; Social Care</v>
      </c>
    </row>
    <row r="2439" spans="1:10" x14ac:dyDescent="0.35">
      <c r="A2439" t="str">
        <f t="shared" si="426"/>
        <v>FEB</v>
      </c>
      <c r="B2439" t="str">
        <f t="shared" si="430"/>
        <v>21</v>
      </c>
      <c r="C2439" t="str">
        <f t="shared" si="434"/>
        <v>2020/21</v>
      </c>
      <c r="D2439" t="str">
        <f>"SS SL 114906"</f>
        <v>SS SL 114906</v>
      </c>
      <c r="E2439" t="str">
        <f t="shared" si="435"/>
        <v>SS</v>
      </c>
      <c r="F2439" t="s">
        <v>25</v>
      </c>
      <c r="G2439" t="s">
        <v>22</v>
      </c>
      <c r="H2439">
        <v>619.52</v>
      </c>
      <c r="I2439" t="str">
        <f t="shared" si="436"/>
        <v>Future Directions CIC</v>
      </c>
      <c r="J2439" t="str">
        <f t="shared" si="437"/>
        <v>Endeavour House (Future Directions) Private Contractors Agency And Contracted Services Supported Living Adult Health &amp; Social Care</v>
      </c>
    </row>
    <row r="2440" spans="1:10" x14ac:dyDescent="0.35">
      <c r="A2440" t="str">
        <f t="shared" si="426"/>
        <v>FEB</v>
      </c>
      <c r="B2440" t="str">
        <f t="shared" si="430"/>
        <v>21</v>
      </c>
      <c r="C2440" t="str">
        <f t="shared" si="434"/>
        <v>2020/21</v>
      </c>
      <c r="D2440" t="str">
        <f>"SS SL 114903"</f>
        <v>SS SL 114903</v>
      </c>
      <c r="E2440" t="str">
        <f t="shared" si="435"/>
        <v>SS</v>
      </c>
      <c r="F2440" t="s">
        <v>25</v>
      </c>
      <c r="G2440" t="s">
        <v>22</v>
      </c>
      <c r="H2440">
        <v>3841.4</v>
      </c>
      <c r="I2440" t="str">
        <f t="shared" si="436"/>
        <v>Future Directions CIC</v>
      </c>
      <c r="J2440" t="str">
        <f t="shared" si="437"/>
        <v>Endeavour House (Future Directions) Private Contractors Agency And Contracted Services Supported Living Adult Health &amp; Social Care</v>
      </c>
    </row>
    <row r="2441" spans="1:10" x14ac:dyDescent="0.35">
      <c r="A2441" t="str">
        <f t="shared" si="426"/>
        <v>FEB</v>
      </c>
      <c r="B2441" t="str">
        <f t="shared" si="430"/>
        <v>21</v>
      </c>
      <c r="C2441" t="str">
        <f t="shared" si="434"/>
        <v>2020/21</v>
      </c>
      <c r="D2441" t="str">
        <f>"SS SL 114906"</f>
        <v>SS SL 114906</v>
      </c>
      <c r="E2441" t="str">
        <f t="shared" si="435"/>
        <v>SS</v>
      </c>
      <c r="F2441" t="s">
        <v>25</v>
      </c>
      <c r="G2441" t="s">
        <v>22</v>
      </c>
      <c r="H2441">
        <v>664</v>
      </c>
      <c r="I2441" t="str">
        <f t="shared" si="436"/>
        <v>Future Directions CIC</v>
      </c>
      <c r="J2441" t="str">
        <f t="shared" si="437"/>
        <v>Endeavour House (Future Directions) Private Contractors Agency And Contracted Services Supported Living Adult Health &amp; Social Care</v>
      </c>
    </row>
    <row r="2442" spans="1:10" x14ac:dyDescent="0.35">
      <c r="A2442" t="str">
        <f t="shared" si="426"/>
        <v>FEB</v>
      </c>
      <c r="B2442" t="str">
        <f t="shared" si="430"/>
        <v>21</v>
      </c>
      <c r="C2442" t="str">
        <f t="shared" si="434"/>
        <v>2020/21</v>
      </c>
      <c r="D2442" t="str">
        <f>"SS SL 114904"</f>
        <v>SS SL 114904</v>
      </c>
      <c r="E2442" t="str">
        <f t="shared" si="435"/>
        <v>SS</v>
      </c>
      <c r="F2442" t="s">
        <v>25</v>
      </c>
      <c r="G2442" t="s">
        <v>22</v>
      </c>
      <c r="H2442">
        <v>2732.52</v>
      </c>
      <c r="I2442" t="str">
        <f t="shared" si="436"/>
        <v>Future Directions CIC</v>
      </c>
      <c r="J2442" t="str">
        <f t="shared" si="437"/>
        <v>Endeavour House (Future Directions) Private Contractors Agency And Contracted Services Supported Living Adult Health &amp; Social Care</v>
      </c>
    </row>
    <row r="2443" spans="1:10" x14ac:dyDescent="0.35">
      <c r="A2443" t="str">
        <f t="shared" si="426"/>
        <v>FEB</v>
      </c>
      <c r="B2443" t="str">
        <f t="shared" si="430"/>
        <v>21</v>
      </c>
      <c r="C2443" t="str">
        <f t="shared" si="434"/>
        <v>2020/21</v>
      </c>
      <c r="D2443" t="str">
        <f>"SS SL 114906"</f>
        <v>SS SL 114906</v>
      </c>
      <c r="E2443" t="str">
        <f t="shared" si="435"/>
        <v>SS</v>
      </c>
      <c r="F2443" t="s">
        <v>25</v>
      </c>
      <c r="G2443" t="s">
        <v>22</v>
      </c>
      <c r="H2443">
        <v>498</v>
      </c>
      <c r="I2443" t="str">
        <f t="shared" si="436"/>
        <v>Future Directions CIC</v>
      </c>
      <c r="J2443" t="str">
        <f t="shared" si="437"/>
        <v>Endeavour House (Future Directions) Private Contractors Agency And Contracted Services Supported Living Adult Health &amp; Social Care</v>
      </c>
    </row>
    <row r="2444" spans="1:10" x14ac:dyDescent="0.35">
      <c r="A2444" t="str">
        <f t="shared" si="426"/>
        <v>FEB</v>
      </c>
      <c r="B2444" t="str">
        <f t="shared" si="430"/>
        <v>21</v>
      </c>
      <c r="C2444" t="str">
        <f t="shared" si="434"/>
        <v>2020/21</v>
      </c>
      <c r="D2444" t="str">
        <f>"SS SL 114903"</f>
        <v>SS SL 114903</v>
      </c>
      <c r="E2444" t="str">
        <f t="shared" si="435"/>
        <v>SS</v>
      </c>
      <c r="F2444" t="s">
        <v>25</v>
      </c>
      <c r="G2444" t="s">
        <v>22</v>
      </c>
      <c r="H2444">
        <v>3492.8</v>
      </c>
      <c r="I2444" t="str">
        <f t="shared" si="436"/>
        <v>Future Directions CIC</v>
      </c>
      <c r="J2444" t="str">
        <f t="shared" si="437"/>
        <v>Endeavour House (Future Directions) Private Contractors Agency And Contracted Services Supported Living Adult Health &amp; Social Care</v>
      </c>
    </row>
    <row r="2445" spans="1:10" x14ac:dyDescent="0.35">
      <c r="A2445" t="str">
        <f t="shared" si="426"/>
        <v>FEB</v>
      </c>
      <c r="B2445" t="str">
        <f t="shared" si="430"/>
        <v>21</v>
      </c>
      <c r="C2445" t="str">
        <f t="shared" si="434"/>
        <v>2020/21</v>
      </c>
      <c r="D2445" t="str">
        <f>"SS SL 114903"</f>
        <v>SS SL 114903</v>
      </c>
      <c r="E2445" t="str">
        <f t="shared" si="435"/>
        <v>SS</v>
      </c>
      <c r="F2445" t="s">
        <v>25</v>
      </c>
      <c r="G2445" t="s">
        <v>22</v>
      </c>
      <c r="H2445">
        <v>3492.8</v>
      </c>
      <c r="I2445" t="str">
        <f t="shared" si="436"/>
        <v>Future Directions CIC</v>
      </c>
      <c r="J2445" t="str">
        <f t="shared" si="437"/>
        <v>Endeavour House (Future Directions) Private Contractors Agency And Contracted Services Supported Living Adult Health &amp; Social Care</v>
      </c>
    </row>
    <row r="2446" spans="1:10" x14ac:dyDescent="0.35">
      <c r="A2446" t="str">
        <f t="shared" si="426"/>
        <v>FEB</v>
      </c>
      <c r="B2446" t="str">
        <f t="shared" si="430"/>
        <v>21</v>
      </c>
      <c r="C2446" t="str">
        <f t="shared" si="434"/>
        <v>2020/21</v>
      </c>
      <c r="D2446" t="str">
        <f>"SS SL 114903"</f>
        <v>SS SL 114903</v>
      </c>
      <c r="E2446" t="str">
        <f t="shared" si="435"/>
        <v>SS</v>
      </c>
      <c r="F2446" t="s">
        <v>25</v>
      </c>
      <c r="G2446" t="s">
        <v>22</v>
      </c>
      <c r="H2446">
        <v>3509.4</v>
      </c>
      <c r="I2446" t="str">
        <f t="shared" si="436"/>
        <v>Future Directions CIC</v>
      </c>
      <c r="J2446" t="str">
        <f t="shared" si="437"/>
        <v>Endeavour House (Future Directions) Private Contractors Agency And Contracted Services Supported Living Adult Health &amp; Social Care</v>
      </c>
    </row>
    <row r="2447" spans="1:10" x14ac:dyDescent="0.35">
      <c r="A2447" t="str">
        <f t="shared" si="426"/>
        <v>FEB</v>
      </c>
      <c r="B2447" t="str">
        <f t="shared" si="430"/>
        <v>21</v>
      </c>
      <c r="C2447" t="str">
        <f t="shared" si="434"/>
        <v>2020/21</v>
      </c>
      <c r="D2447" t="str">
        <f>"SS SL 114904"</f>
        <v>SS SL 114904</v>
      </c>
      <c r="E2447" t="str">
        <f t="shared" si="435"/>
        <v>SS</v>
      </c>
      <c r="F2447" t="s">
        <v>25</v>
      </c>
      <c r="G2447" t="s">
        <v>22</v>
      </c>
      <c r="H2447">
        <v>3708.6</v>
      </c>
      <c r="I2447" t="str">
        <f t="shared" si="436"/>
        <v>Future Directions CIC</v>
      </c>
      <c r="J2447" t="str">
        <f t="shared" si="437"/>
        <v>Endeavour House (Future Directions) Private Contractors Agency And Contracted Services Supported Living Adult Health &amp; Social Care</v>
      </c>
    </row>
    <row r="2448" spans="1:10" x14ac:dyDescent="0.35">
      <c r="A2448" t="str">
        <f t="shared" si="426"/>
        <v>FEB</v>
      </c>
      <c r="B2448" t="str">
        <f t="shared" si="430"/>
        <v>21</v>
      </c>
      <c r="C2448" t="str">
        <f t="shared" si="434"/>
        <v>2020/21</v>
      </c>
      <c r="D2448" t="str">
        <f>"SS SL 114906"</f>
        <v>SS SL 114906</v>
      </c>
      <c r="E2448" t="str">
        <f t="shared" si="435"/>
        <v>SS</v>
      </c>
      <c r="F2448" t="s">
        <v>25</v>
      </c>
      <c r="G2448" t="s">
        <v>22</v>
      </c>
      <c r="H2448">
        <v>265.60000000000002</v>
      </c>
      <c r="I2448" t="str">
        <f t="shared" si="436"/>
        <v>Future Directions CIC</v>
      </c>
      <c r="J2448" t="str">
        <f t="shared" si="437"/>
        <v>Endeavour House (Future Directions) Private Contractors Agency And Contracted Services Supported Living Adult Health &amp; Social Care</v>
      </c>
    </row>
    <row r="2449" spans="1:10" x14ac:dyDescent="0.35">
      <c r="A2449" t="str">
        <f t="shared" si="426"/>
        <v>FEB</v>
      </c>
      <c r="B2449" t="str">
        <f t="shared" si="430"/>
        <v>21</v>
      </c>
      <c r="C2449" t="str">
        <f t="shared" si="434"/>
        <v>2020/21</v>
      </c>
      <c r="D2449" t="str">
        <f>"SS SL 114906"</f>
        <v>SS SL 114906</v>
      </c>
      <c r="E2449" t="str">
        <f t="shared" si="435"/>
        <v>SS</v>
      </c>
      <c r="F2449" t="s">
        <v>25</v>
      </c>
      <c r="G2449" t="s">
        <v>22</v>
      </c>
      <c r="H2449">
        <v>996</v>
      </c>
      <c r="I2449" t="str">
        <f t="shared" si="436"/>
        <v>Future Directions CIC</v>
      </c>
      <c r="J2449" t="str">
        <f t="shared" si="437"/>
        <v>Endeavour House (Future Directions) Private Contractors Agency And Contracted Services Supported Living Adult Health &amp; Social Care</v>
      </c>
    </row>
    <row r="2450" spans="1:10" x14ac:dyDescent="0.35">
      <c r="A2450" t="str">
        <f t="shared" si="426"/>
        <v>FEB</v>
      </c>
      <c r="B2450" t="str">
        <f t="shared" si="430"/>
        <v>21</v>
      </c>
      <c r="C2450" t="str">
        <f t="shared" si="434"/>
        <v>2020/21</v>
      </c>
      <c r="D2450" t="str">
        <f>"SS SL 114904"</f>
        <v>SS SL 114904</v>
      </c>
      <c r="E2450" t="str">
        <f t="shared" si="435"/>
        <v>SS</v>
      </c>
      <c r="F2450" t="s">
        <v>25</v>
      </c>
      <c r="G2450" t="s">
        <v>22</v>
      </c>
      <c r="H2450">
        <v>3130.92</v>
      </c>
      <c r="I2450" t="str">
        <f t="shared" si="436"/>
        <v>Future Directions CIC</v>
      </c>
      <c r="J2450" t="str">
        <f t="shared" si="437"/>
        <v>Endeavour House (Future Directions) Private Contractors Agency And Contracted Services Supported Living Adult Health &amp; Social Care</v>
      </c>
    </row>
    <row r="2451" spans="1:10" x14ac:dyDescent="0.35">
      <c r="A2451" t="str">
        <f t="shared" si="426"/>
        <v>FEB</v>
      </c>
      <c r="B2451" t="str">
        <f t="shared" si="430"/>
        <v>21</v>
      </c>
      <c r="C2451" t="str">
        <f t="shared" si="434"/>
        <v>2020/21</v>
      </c>
      <c r="D2451" t="str">
        <f>"SS SL 114904"</f>
        <v>SS SL 114904</v>
      </c>
      <c r="E2451" t="str">
        <f t="shared" si="435"/>
        <v>SS</v>
      </c>
      <c r="F2451" t="s">
        <v>25</v>
      </c>
      <c r="G2451" t="s">
        <v>22</v>
      </c>
      <c r="H2451">
        <v>3708.6</v>
      </c>
      <c r="I2451" t="str">
        <f t="shared" si="436"/>
        <v>Future Directions CIC</v>
      </c>
      <c r="J2451" t="str">
        <f t="shared" si="437"/>
        <v>Endeavour House (Future Directions) Private Contractors Agency And Contracted Services Supported Living Adult Health &amp; Social Care</v>
      </c>
    </row>
    <row r="2452" spans="1:10" x14ac:dyDescent="0.35">
      <c r="A2452" t="str">
        <f t="shared" si="426"/>
        <v>FEB</v>
      </c>
      <c r="B2452" t="str">
        <f t="shared" si="430"/>
        <v>21</v>
      </c>
      <c r="C2452" t="str">
        <f t="shared" si="434"/>
        <v>2020/21</v>
      </c>
      <c r="D2452" t="str">
        <f>"SS SL 114903"</f>
        <v>SS SL 114903</v>
      </c>
      <c r="E2452" t="str">
        <f t="shared" si="435"/>
        <v>SS</v>
      </c>
      <c r="F2452" t="s">
        <v>25</v>
      </c>
      <c r="G2452" t="s">
        <v>22</v>
      </c>
      <c r="H2452">
        <v>3492.8</v>
      </c>
      <c r="I2452" t="str">
        <f t="shared" si="436"/>
        <v>Future Directions CIC</v>
      </c>
      <c r="J2452" t="str">
        <f t="shared" si="437"/>
        <v>Endeavour House (Future Directions) Private Contractors Agency And Contracted Services Supported Living Adult Health &amp; Social Care</v>
      </c>
    </row>
    <row r="2453" spans="1:10" x14ac:dyDescent="0.35">
      <c r="A2453" t="str">
        <f t="shared" si="426"/>
        <v>FEB</v>
      </c>
      <c r="B2453" t="str">
        <f t="shared" si="430"/>
        <v>21</v>
      </c>
      <c r="C2453" t="str">
        <f t="shared" si="434"/>
        <v>2020/21</v>
      </c>
      <c r="D2453" t="str">
        <f>"SS SL 114906"</f>
        <v>SS SL 114906</v>
      </c>
      <c r="E2453" t="str">
        <f t="shared" si="435"/>
        <v>SS</v>
      </c>
      <c r="F2453" t="s">
        <v>25</v>
      </c>
      <c r="G2453" t="s">
        <v>22</v>
      </c>
      <c r="H2453">
        <v>498</v>
      </c>
      <c r="I2453" t="str">
        <f t="shared" si="436"/>
        <v>Future Directions CIC</v>
      </c>
      <c r="J2453" t="str">
        <f t="shared" si="437"/>
        <v>Endeavour House (Future Directions) Private Contractors Agency And Contracted Services Supported Living Adult Health &amp; Social Care</v>
      </c>
    </row>
    <row r="2454" spans="1:10" x14ac:dyDescent="0.35">
      <c r="A2454" t="str">
        <f t="shared" si="426"/>
        <v>FEB</v>
      </c>
      <c r="B2454" t="str">
        <f t="shared" si="430"/>
        <v>21</v>
      </c>
      <c r="C2454" t="str">
        <f t="shared" si="434"/>
        <v>2020/21</v>
      </c>
      <c r="D2454" t="str">
        <f>"SS SL 114904"</f>
        <v>SS SL 114904</v>
      </c>
      <c r="E2454" t="str">
        <f t="shared" si="435"/>
        <v>SS</v>
      </c>
      <c r="F2454" t="s">
        <v>25</v>
      </c>
      <c r="G2454" t="s">
        <v>22</v>
      </c>
      <c r="H2454">
        <v>2732.52</v>
      </c>
      <c r="I2454" t="str">
        <f t="shared" si="436"/>
        <v>Future Directions CIC</v>
      </c>
      <c r="J2454" t="str">
        <f t="shared" si="437"/>
        <v>Endeavour House (Future Directions) Private Contractors Agency And Contracted Services Supported Living Adult Health &amp; Social Care</v>
      </c>
    </row>
    <row r="2455" spans="1:10" x14ac:dyDescent="0.35">
      <c r="A2455" t="str">
        <f t="shared" si="426"/>
        <v>FEB</v>
      </c>
      <c r="B2455" t="str">
        <f t="shared" si="430"/>
        <v>21</v>
      </c>
      <c r="C2455" t="str">
        <f t="shared" si="434"/>
        <v>2020/21</v>
      </c>
      <c r="D2455" t="str">
        <f>"SS SL 114906"</f>
        <v>SS SL 114906</v>
      </c>
      <c r="E2455" t="str">
        <f t="shared" si="435"/>
        <v>SS</v>
      </c>
      <c r="F2455" t="s">
        <v>25</v>
      </c>
      <c r="G2455" t="s">
        <v>22</v>
      </c>
      <c r="H2455">
        <v>664</v>
      </c>
      <c r="I2455" t="str">
        <f t="shared" si="436"/>
        <v>Future Directions CIC</v>
      </c>
      <c r="J2455" t="str">
        <f t="shared" si="437"/>
        <v>Endeavour House (Future Directions) Private Contractors Agency And Contracted Services Supported Living Adult Health &amp; Social Care</v>
      </c>
    </row>
    <row r="2456" spans="1:10" x14ac:dyDescent="0.35">
      <c r="A2456" t="str">
        <f t="shared" si="426"/>
        <v>FEB</v>
      </c>
      <c r="B2456" t="str">
        <f t="shared" si="430"/>
        <v>21</v>
      </c>
      <c r="C2456" t="str">
        <f t="shared" si="434"/>
        <v>2020/21</v>
      </c>
      <c r="D2456" t="str">
        <f>"SS SL 114903"</f>
        <v>SS SL 114903</v>
      </c>
      <c r="E2456" t="str">
        <f t="shared" si="435"/>
        <v>SS</v>
      </c>
      <c r="F2456" t="s">
        <v>25</v>
      </c>
      <c r="G2456" t="s">
        <v>22</v>
      </c>
      <c r="H2456">
        <v>3841.4</v>
      </c>
      <c r="I2456" t="str">
        <f t="shared" si="436"/>
        <v>Future Directions CIC</v>
      </c>
      <c r="J2456" t="str">
        <f t="shared" si="437"/>
        <v>Endeavour House (Future Directions) Private Contractors Agency And Contracted Services Supported Living Adult Health &amp; Social Care</v>
      </c>
    </row>
    <row r="2457" spans="1:10" x14ac:dyDescent="0.35">
      <c r="A2457" t="str">
        <f t="shared" si="426"/>
        <v>FEB</v>
      </c>
      <c r="B2457" t="str">
        <f t="shared" si="430"/>
        <v>21</v>
      </c>
      <c r="C2457" t="str">
        <f t="shared" si="434"/>
        <v>2020/21</v>
      </c>
      <c r="D2457" t="str">
        <f>"SS SL 114906"</f>
        <v>SS SL 114906</v>
      </c>
      <c r="E2457" t="str">
        <f t="shared" si="435"/>
        <v>SS</v>
      </c>
      <c r="F2457" t="s">
        <v>25</v>
      </c>
      <c r="G2457" t="s">
        <v>22</v>
      </c>
      <c r="H2457">
        <v>619.52</v>
      </c>
      <c r="I2457" t="str">
        <f t="shared" si="436"/>
        <v>Future Directions CIC</v>
      </c>
      <c r="J2457" t="str">
        <f t="shared" si="437"/>
        <v>Endeavour House (Future Directions) Private Contractors Agency And Contracted Services Supported Living Adult Health &amp; Social Care</v>
      </c>
    </row>
    <row r="2458" spans="1:10" x14ac:dyDescent="0.35">
      <c r="A2458" t="str">
        <f t="shared" si="426"/>
        <v>FEB</v>
      </c>
      <c r="B2458" t="str">
        <f t="shared" si="430"/>
        <v>21</v>
      </c>
      <c r="C2458" t="str">
        <f t="shared" si="434"/>
        <v>2020/21</v>
      </c>
      <c r="D2458" t="str">
        <f>"SS SL 114906"</f>
        <v>SS SL 114906</v>
      </c>
      <c r="E2458" t="str">
        <f t="shared" si="435"/>
        <v>SS</v>
      </c>
      <c r="F2458" t="s">
        <v>25</v>
      </c>
      <c r="G2458" t="s">
        <v>22</v>
      </c>
      <c r="H2458">
        <v>265.60000000000002</v>
      </c>
      <c r="I2458" t="str">
        <f t="shared" si="436"/>
        <v>Future Directions CIC</v>
      </c>
      <c r="J2458" t="str">
        <f t="shared" si="437"/>
        <v>Endeavour House (Future Directions) Private Contractors Agency And Contracted Services Supported Living Adult Health &amp; Social Care</v>
      </c>
    </row>
    <row r="2459" spans="1:10" x14ac:dyDescent="0.35">
      <c r="A2459" t="str">
        <f t="shared" si="426"/>
        <v>FEB</v>
      </c>
      <c r="B2459" t="str">
        <f t="shared" si="430"/>
        <v>21</v>
      </c>
      <c r="C2459" t="str">
        <f t="shared" si="434"/>
        <v>2020/21</v>
      </c>
      <c r="D2459" t="str">
        <f>"SS SL 114906"</f>
        <v>SS SL 114906</v>
      </c>
      <c r="E2459" t="str">
        <f t="shared" si="435"/>
        <v>SS</v>
      </c>
      <c r="F2459" t="s">
        <v>25</v>
      </c>
      <c r="G2459" t="s">
        <v>22</v>
      </c>
      <c r="H2459">
        <v>996</v>
      </c>
      <c r="I2459" t="str">
        <f t="shared" si="436"/>
        <v>Future Directions CIC</v>
      </c>
      <c r="J2459" t="str">
        <f t="shared" si="437"/>
        <v>Endeavour House (Future Directions) Private Contractors Agency And Contracted Services Supported Living Adult Health &amp; Social Care</v>
      </c>
    </row>
    <row r="2460" spans="1:10" x14ac:dyDescent="0.35">
      <c r="A2460" t="str">
        <f t="shared" si="426"/>
        <v>FEB</v>
      </c>
      <c r="B2460" t="str">
        <f t="shared" si="430"/>
        <v>21</v>
      </c>
      <c r="C2460" t="str">
        <f t="shared" si="434"/>
        <v>2020/21</v>
      </c>
      <c r="D2460" t="str">
        <f>"SS SL 114903"</f>
        <v>SS SL 114903</v>
      </c>
      <c r="E2460" t="str">
        <f t="shared" si="435"/>
        <v>SS</v>
      </c>
      <c r="F2460" t="s">
        <v>25</v>
      </c>
      <c r="G2460" t="s">
        <v>22</v>
      </c>
      <c r="H2460">
        <v>3509.4</v>
      </c>
      <c r="I2460" t="str">
        <f t="shared" si="436"/>
        <v>Future Directions CIC</v>
      </c>
      <c r="J2460" t="str">
        <f t="shared" si="437"/>
        <v>Endeavour House (Future Directions) Private Contractors Agency And Contracted Services Supported Living Adult Health &amp; Social Care</v>
      </c>
    </row>
    <row r="2461" spans="1:10" x14ac:dyDescent="0.35">
      <c r="A2461" t="str">
        <f t="shared" si="426"/>
        <v>FEB</v>
      </c>
      <c r="B2461" t="str">
        <f t="shared" si="430"/>
        <v>21</v>
      </c>
      <c r="C2461" t="str">
        <f t="shared" si="434"/>
        <v>2020/21</v>
      </c>
      <c r="D2461" t="str">
        <f>"SS SL 114903"</f>
        <v>SS SL 114903</v>
      </c>
      <c r="E2461" t="str">
        <f t="shared" si="435"/>
        <v>SS</v>
      </c>
      <c r="F2461" t="s">
        <v>25</v>
      </c>
      <c r="G2461" t="s">
        <v>22</v>
      </c>
      <c r="H2461">
        <v>3625.6</v>
      </c>
      <c r="I2461" t="str">
        <f t="shared" si="436"/>
        <v>Future Directions CIC</v>
      </c>
      <c r="J2461" t="str">
        <f t="shared" si="437"/>
        <v>Endeavour House (Future Directions) Private Contractors Agency And Contracted Services Supported Living Adult Health &amp; Social Care</v>
      </c>
    </row>
    <row r="2462" spans="1:10" x14ac:dyDescent="0.35">
      <c r="A2462" t="str">
        <f t="shared" si="426"/>
        <v>FEB</v>
      </c>
      <c r="B2462" t="str">
        <f t="shared" si="430"/>
        <v>21</v>
      </c>
      <c r="C2462" t="str">
        <f t="shared" si="434"/>
        <v>2020/21</v>
      </c>
      <c r="D2462" t="str">
        <f>"SS SL 114903"</f>
        <v>SS SL 114903</v>
      </c>
      <c r="E2462" t="str">
        <f t="shared" si="435"/>
        <v>SS</v>
      </c>
      <c r="F2462" t="s">
        <v>25</v>
      </c>
      <c r="G2462" t="s">
        <v>22</v>
      </c>
      <c r="H2462">
        <v>3492.8</v>
      </c>
      <c r="I2462" t="str">
        <f t="shared" si="436"/>
        <v>Future Directions CIC</v>
      </c>
      <c r="J2462" t="str">
        <f t="shared" si="437"/>
        <v>Endeavour House (Future Directions) Private Contractors Agency And Contracted Services Supported Living Adult Health &amp; Social Care</v>
      </c>
    </row>
    <row r="2463" spans="1:10" x14ac:dyDescent="0.35">
      <c r="A2463" t="str">
        <f t="shared" si="426"/>
        <v>FEB</v>
      </c>
      <c r="B2463" t="str">
        <f t="shared" si="430"/>
        <v>21</v>
      </c>
      <c r="C2463" t="str">
        <f t="shared" si="434"/>
        <v>2020/21</v>
      </c>
      <c r="D2463" t="str">
        <f t="shared" ref="D2463:D2469" si="438">"SS SL 114847"</f>
        <v>SS SL 114847</v>
      </c>
      <c r="E2463" t="str">
        <f t="shared" si="435"/>
        <v>SS</v>
      </c>
      <c r="F2463" t="s">
        <v>25</v>
      </c>
      <c r="G2463" t="s">
        <v>22</v>
      </c>
      <c r="H2463">
        <v>2390.4</v>
      </c>
      <c r="I2463" t="str">
        <f t="shared" ref="I2463:I2469" si="439">"The Mayfield Trust"</f>
        <v>The Mayfield Trust</v>
      </c>
      <c r="J2463" t="str">
        <f t="shared" ref="J2463:J2469" si="440"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2464" spans="1:10" x14ac:dyDescent="0.35">
      <c r="A2464" t="str">
        <f t="shared" si="426"/>
        <v>FEB</v>
      </c>
      <c r="B2464" t="str">
        <f t="shared" si="430"/>
        <v>21</v>
      </c>
      <c r="C2464" t="str">
        <f t="shared" si="434"/>
        <v>2020/21</v>
      </c>
      <c r="D2464" t="str">
        <f t="shared" si="438"/>
        <v>SS SL 114847</v>
      </c>
      <c r="E2464" t="str">
        <f t="shared" si="435"/>
        <v>SS</v>
      </c>
      <c r="F2464" t="s">
        <v>25</v>
      </c>
      <c r="G2464" t="s">
        <v>22</v>
      </c>
      <c r="H2464">
        <v>2390.4</v>
      </c>
      <c r="I2464" t="str">
        <f t="shared" si="439"/>
        <v>The Mayfield Trust</v>
      </c>
      <c r="J2464" t="str">
        <f t="shared" si="440"/>
        <v>Dalecroft (Mayfield Trust) Private Contractors Agency And Contracted Services Supported Living Adult Health &amp; Social Care</v>
      </c>
    </row>
    <row r="2465" spans="1:10" x14ac:dyDescent="0.35">
      <c r="A2465" t="str">
        <f t="shared" ref="A2465:A2528" si="441">"FEB"</f>
        <v>FEB</v>
      </c>
      <c r="B2465" t="str">
        <f t="shared" si="430"/>
        <v>21</v>
      </c>
      <c r="C2465" t="str">
        <f t="shared" si="434"/>
        <v>2020/21</v>
      </c>
      <c r="D2465" t="str">
        <f t="shared" si="438"/>
        <v>SS SL 114847</v>
      </c>
      <c r="E2465" t="str">
        <f t="shared" si="435"/>
        <v>SS</v>
      </c>
      <c r="F2465" t="s">
        <v>25</v>
      </c>
      <c r="G2465" t="s">
        <v>22</v>
      </c>
      <c r="H2465">
        <v>6739.6</v>
      </c>
      <c r="I2465" t="str">
        <f t="shared" si="439"/>
        <v>The Mayfield Trust</v>
      </c>
      <c r="J2465" t="str">
        <f t="shared" si="440"/>
        <v>Dalecroft (Mayfield Trust) Private Contractors Agency And Contracted Services Supported Living Adult Health &amp; Social Care</v>
      </c>
    </row>
    <row r="2466" spans="1:10" x14ac:dyDescent="0.35">
      <c r="A2466" t="str">
        <f t="shared" si="441"/>
        <v>FEB</v>
      </c>
      <c r="B2466" t="str">
        <f t="shared" si="430"/>
        <v>21</v>
      </c>
      <c r="C2466" t="str">
        <f t="shared" si="434"/>
        <v>2020/21</v>
      </c>
      <c r="D2466" t="str">
        <f t="shared" si="438"/>
        <v>SS SL 114847</v>
      </c>
      <c r="E2466" t="str">
        <f t="shared" si="435"/>
        <v>SS</v>
      </c>
      <c r="F2466" t="s">
        <v>25</v>
      </c>
      <c r="G2466" t="s">
        <v>22</v>
      </c>
      <c r="H2466">
        <v>3320</v>
      </c>
      <c r="I2466" t="str">
        <f t="shared" si="439"/>
        <v>The Mayfield Trust</v>
      </c>
      <c r="J2466" t="str">
        <f t="shared" si="440"/>
        <v>Dalecroft (Mayfield Trust) Private Contractors Agency And Contracted Services Supported Living Adult Health &amp; Social Care</v>
      </c>
    </row>
    <row r="2467" spans="1:10" x14ac:dyDescent="0.35">
      <c r="A2467" t="str">
        <f t="shared" si="441"/>
        <v>FEB</v>
      </c>
      <c r="B2467" t="str">
        <f t="shared" si="430"/>
        <v>21</v>
      </c>
      <c r="C2467" t="str">
        <f t="shared" si="434"/>
        <v>2020/21</v>
      </c>
      <c r="D2467" t="str">
        <f t="shared" si="438"/>
        <v>SS SL 114847</v>
      </c>
      <c r="E2467" t="str">
        <f t="shared" si="435"/>
        <v>SS</v>
      </c>
      <c r="F2467" t="s">
        <v>25</v>
      </c>
      <c r="G2467" t="s">
        <v>22</v>
      </c>
      <c r="H2467">
        <v>2390.4</v>
      </c>
      <c r="I2467" t="str">
        <f t="shared" si="439"/>
        <v>The Mayfield Trust</v>
      </c>
      <c r="J2467" t="str">
        <f t="shared" si="440"/>
        <v>Dalecroft (Mayfield Trust) Private Contractors Agency And Contracted Services Supported Living Adult Health &amp; Social Care</v>
      </c>
    </row>
    <row r="2468" spans="1:10" x14ac:dyDescent="0.35">
      <c r="A2468" t="str">
        <f t="shared" si="441"/>
        <v>FEB</v>
      </c>
      <c r="B2468" t="str">
        <f t="shared" si="430"/>
        <v>21</v>
      </c>
      <c r="C2468" t="str">
        <f t="shared" si="434"/>
        <v>2020/21</v>
      </c>
      <c r="D2468" t="str">
        <f t="shared" si="438"/>
        <v>SS SL 114847</v>
      </c>
      <c r="E2468" t="str">
        <f t="shared" si="435"/>
        <v>SS</v>
      </c>
      <c r="F2468" t="s">
        <v>25</v>
      </c>
      <c r="G2468" t="s">
        <v>22</v>
      </c>
      <c r="H2468">
        <v>2390.4</v>
      </c>
      <c r="I2468" t="str">
        <f t="shared" si="439"/>
        <v>The Mayfield Trust</v>
      </c>
      <c r="J2468" t="str">
        <f t="shared" si="440"/>
        <v>Dalecroft (Mayfield Trust) Private Contractors Agency And Contracted Services Supported Living Adult Health &amp; Social Care</v>
      </c>
    </row>
    <row r="2469" spans="1:10" x14ac:dyDescent="0.35">
      <c r="A2469" t="str">
        <f t="shared" si="441"/>
        <v>FEB</v>
      </c>
      <c r="B2469" t="str">
        <f t="shared" si="430"/>
        <v>21</v>
      </c>
      <c r="C2469" t="str">
        <f t="shared" si="434"/>
        <v>2020/21</v>
      </c>
      <c r="D2469" t="str">
        <f t="shared" si="438"/>
        <v>SS SL 114847</v>
      </c>
      <c r="E2469" t="str">
        <f t="shared" si="435"/>
        <v>SS</v>
      </c>
      <c r="F2469" t="s">
        <v>25</v>
      </c>
      <c r="G2469" t="s">
        <v>22</v>
      </c>
      <c r="H2469">
        <v>3718.4</v>
      </c>
      <c r="I2469" t="str">
        <f t="shared" si="439"/>
        <v>The Mayfield Trust</v>
      </c>
      <c r="J2469" t="str">
        <f t="shared" si="440"/>
        <v>Dalecroft (Mayfield Trust) Private Contractors Agency And Contracted Services Supported Living Adult Health &amp; Social Care</v>
      </c>
    </row>
    <row r="2470" spans="1:10" x14ac:dyDescent="0.35">
      <c r="A2470" t="str">
        <f t="shared" si="441"/>
        <v>FEB</v>
      </c>
      <c r="B2470" t="str">
        <f t="shared" si="430"/>
        <v>21</v>
      </c>
      <c r="C2470" t="str">
        <f t="shared" si="434"/>
        <v>2020/21</v>
      </c>
      <c r="D2470" t="str">
        <f t="shared" ref="D2470:D2479" si="442">"SS SL 114879"</f>
        <v>SS SL 114879</v>
      </c>
      <c r="E2470" t="str">
        <f t="shared" si="435"/>
        <v>SS</v>
      </c>
      <c r="F2470" t="s">
        <v>25</v>
      </c>
      <c r="G2470" t="s">
        <v>22</v>
      </c>
      <c r="H2470">
        <v>4780.8</v>
      </c>
      <c r="I2470" t="str">
        <f t="shared" ref="I2470:I2498" si="443">"Creative Support Ltd"</f>
        <v>Creative Support Ltd</v>
      </c>
      <c r="J2470" t="str">
        <f t="shared" ref="J2470:J2479" si="444">"42 Church Lane (Creative Support) Private Contractors Agency And Contracted Services Supported Living Adult Health &amp; Social Care"</f>
        <v>42 Church Lane (Creative Support) Private Contractors Agency And Contracted Services Supported Living Adult Health &amp; Social Care</v>
      </c>
    </row>
    <row r="2471" spans="1:10" x14ac:dyDescent="0.35">
      <c r="A2471" t="str">
        <f t="shared" si="441"/>
        <v>FEB</v>
      </c>
      <c r="B2471" t="str">
        <f t="shared" si="430"/>
        <v>21</v>
      </c>
      <c r="C2471" t="str">
        <f t="shared" si="434"/>
        <v>2020/21</v>
      </c>
      <c r="D2471" t="str">
        <f t="shared" si="442"/>
        <v>SS SL 114879</v>
      </c>
      <c r="E2471" t="str">
        <f t="shared" si="435"/>
        <v>SS</v>
      </c>
      <c r="F2471" t="s">
        <v>25</v>
      </c>
      <c r="G2471" t="s">
        <v>22</v>
      </c>
      <c r="H2471">
        <v>5179.2</v>
      </c>
      <c r="I2471" t="str">
        <f t="shared" si="443"/>
        <v>Creative Support Ltd</v>
      </c>
      <c r="J2471" t="str">
        <f t="shared" si="444"/>
        <v>42 Church Lane (Creative Support) Private Contractors Agency And Contracted Services Supported Living Adult Health &amp; Social Care</v>
      </c>
    </row>
    <row r="2472" spans="1:10" x14ac:dyDescent="0.35">
      <c r="A2472" t="str">
        <f t="shared" si="441"/>
        <v>FEB</v>
      </c>
      <c r="B2472" t="str">
        <f t="shared" si="430"/>
        <v>21</v>
      </c>
      <c r="C2472" t="str">
        <f t="shared" si="434"/>
        <v>2020/21</v>
      </c>
      <c r="D2472" t="str">
        <f t="shared" si="442"/>
        <v>SS SL 114879</v>
      </c>
      <c r="E2472" t="str">
        <f t="shared" si="435"/>
        <v>SS</v>
      </c>
      <c r="F2472" t="s">
        <v>25</v>
      </c>
      <c r="G2472" t="s">
        <v>22</v>
      </c>
      <c r="H2472">
        <v>3320</v>
      </c>
      <c r="I2472" t="str">
        <f t="shared" si="443"/>
        <v>Creative Support Ltd</v>
      </c>
      <c r="J2472" t="str">
        <f t="shared" si="444"/>
        <v>42 Church Lane (Creative Support) Private Contractors Agency And Contracted Services Supported Living Adult Health &amp; Social Care</v>
      </c>
    </row>
    <row r="2473" spans="1:10" x14ac:dyDescent="0.35">
      <c r="A2473" t="str">
        <f t="shared" si="441"/>
        <v>FEB</v>
      </c>
      <c r="B2473" t="str">
        <f t="shared" si="430"/>
        <v>21</v>
      </c>
      <c r="C2473" t="str">
        <f t="shared" si="434"/>
        <v>2020/21</v>
      </c>
      <c r="D2473" t="str">
        <f t="shared" si="442"/>
        <v>SS SL 114879</v>
      </c>
      <c r="E2473" t="str">
        <f t="shared" si="435"/>
        <v>SS</v>
      </c>
      <c r="F2473" t="s">
        <v>25</v>
      </c>
      <c r="G2473" t="s">
        <v>22</v>
      </c>
      <c r="H2473">
        <v>1925.6</v>
      </c>
      <c r="I2473" t="str">
        <f t="shared" si="443"/>
        <v>Creative Support Ltd</v>
      </c>
      <c r="J2473" t="str">
        <f t="shared" si="444"/>
        <v>42 Church Lane (Creative Support) Private Contractors Agency And Contracted Services Supported Living Adult Health &amp; Social Care</v>
      </c>
    </row>
    <row r="2474" spans="1:10" x14ac:dyDescent="0.35">
      <c r="A2474" t="str">
        <f t="shared" si="441"/>
        <v>FEB</v>
      </c>
      <c r="B2474" t="str">
        <f t="shared" si="430"/>
        <v>21</v>
      </c>
      <c r="C2474" t="str">
        <f t="shared" si="434"/>
        <v>2020/21</v>
      </c>
      <c r="D2474" t="str">
        <f t="shared" si="442"/>
        <v>SS SL 114879</v>
      </c>
      <c r="E2474" t="str">
        <f t="shared" si="435"/>
        <v>SS</v>
      </c>
      <c r="F2474" t="s">
        <v>25</v>
      </c>
      <c r="G2474" t="s">
        <v>22</v>
      </c>
      <c r="H2474">
        <v>2284.8000000000002</v>
      </c>
      <c r="I2474" t="str">
        <f t="shared" si="443"/>
        <v>Creative Support Ltd</v>
      </c>
      <c r="J2474" t="str">
        <f t="shared" si="444"/>
        <v>42 Church Lane (Creative Support) Private Contractors Agency And Contracted Services Supported Living Adult Health &amp; Social Care</v>
      </c>
    </row>
    <row r="2475" spans="1:10" x14ac:dyDescent="0.35">
      <c r="A2475" t="str">
        <f t="shared" si="441"/>
        <v>FEB</v>
      </c>
      <c r="B2475" t="str">
        <f t="shared" si="430"/>
        <v>21</v>
      </c>
      <c r="C2475" t="str">
        <f t="shared" si="434"/>
        <v>2020/21</v>
      </c>
      <c r="D2475" t="str">
        <f t="shared" si="442"/>
        <v>SS SL 114879</v>
      </c>
      <c r="E2475" t="str">
        <f t="shared" si="435"/>
        <v>SS</v>
      </c>
      <c r="F2475" t="s">
        <v>25</v>
      </c>
      <c r="G2475" t="s">
        <v>22</v>
      </c>
      <c r="H2475">
        <v>5179.2</v>
      </c>
      <c r="I2475" t="str">
        <f t="shared" si="443"/>
        <v>Creative Support Ltd</v>
      </c>
      <c r="J2475" t="str">
        <f t="shared" si="444"/>
        <v>42 Church Lane (Creative Support) Private Contractors Agency And Contracted Services Supported Living Adult Health &amp; Social Care</v>
      </c>
    </row>
    <row r="2476" spans="1:10" x14ac:dyDescent="0.35">
      <c r="A2476" t="str">
        <f t="shared" si="441"/>
        <v>FEB</v>
      </c>
      <c r="B2476" t="str">
        <f t="shared" si="430"/>
        <v>21</v>
      </c>
      <c r="C2476" t="str">
        <f t="shared" si="434"/>
        <v>2020/21</v>
      </c>
      <c r="D2476" t="str">
        <f t="shared" si="442"/>
        <v>SS SL 114879</v>
      </c>
      <c r="E2476" t="str">
        <f t="shared" si="435"/>
        <v>SS</v>
      </c>
      <c r="F2476" t="s">
        <v>25</v>
      </c>
      <c r="G2476" t="s">
        <v>22</v>
      </c>
      <c r="H2476">
        <v>4780.8</v>
      </c>
      <c r="I2476" t="str">
        <f t="shared" si="443"/>
        <v>Creative Support Ltd</v>
      </c>
      <c r="J2476" t="str">
        <f t="shared" si="444"/>
        <v>42 Church Lane (Creative Support) Private Contractors Agency And Contracted Services Supported Living Adult Health &amp; Social Care</v>
      </c>
    </row>
    <row r="2477" spans="1:10" x14ac:dyDescent="0.35">
      <c r="A2477" t="str">
        <f t="shared" si="441"/>
        <v>FEB</v>
      </c>
      <c r="B2477" t="str">
        <f t="shared" si="430"/>
        <v>21</v>
      </c>
      <c r="C2477" t="str">
        <f t="shared" si="434"/>
        <v>2020/21</v>
      </c>
      <c r="D2477" t="str">
        <f t="shared" si="442"/>
        <v>SS SL 114879</v>
      </c>
      <c r="E2477" t="str">
        <f t="shared" si="435"/>
        <v>SS</v>
      </c>
      <c r="F2477" t="s">
        <v>25</v>
      </c>
      <c r="G2477" t="s">
        <v>22</v>
      </c>
      <c r="H2477">
        <v>3320</v>
      </c>
      <c r="I2477" t="str">
        <f t="shared" si="443"/>
        <v>Creative Support Ltd</v>
      </c>
      <c r="J2477" t="str">
        <f t="shared" si="444"/>
        <v>42 Church Lane (Creative Support) Private Contractors Agency And Contracted Services Supported Living Adult Health &amp; Social Care</v>
      </c>
    </row>
    <row r="2478" spans="1:10" x14ac:dyDescent="0.35">
      <c r="A2478" t="str">
        <f t="shared" si="441"/>
        <v>FEB</v>
      </c>
      <c r="B2478" t="str">
        <f t="shared" si="430"/>
        <v>21</v>
      </c>
      <c r="C2478" t="str">
        <f t="shared" si="434"/>
        <v>2020/21</v>
      </c>
      <c r="D2478" t="str">
        <f t="shared" si="442"/>
        <v>SS SL 114879</v>
      </c>
      <c r="E2478" t="str">
        <f t="shared" si="435"/>
        <v>SS</v>
      </c>
      <c r="F2478" t="s">
        <v>25</v>
      </c>
      <c r="G2478" t="s">
        <v>22</v>
      </c>
      <c r="H2478">
        <v>1925.6</v>
      </c>
      <c r="I2478" t="str">
        <f t="shared" si="443"/>
        <v>Creative Support Ltd</v>
      </c>
      <c r="J2478" t="str">
        <f t="shared" si="444"/>
        <v>42 Church Lane (Creative Support) Private Contractors Agency And Contracted Services Supported Living Adult Health &amp; Social Care</v>
      </c>
    </row>
    <row r="2479" spans="1:10" x14ac:dyDescent="0.35">
      <c r="A2479" t="str">
        <f t="shared" si="441"/>
        <v>FEB</v>
      </c>
      <c r="B2479" t="str">
        <f t="shared" si="430"/>
        <v>21</v>
      </c>
      <c r="C2479" t="str">
        <f t="shared" si="434"/>
        <v>2020/21</v>
      </c>
      <c r="D2479" t="str">
        <f t="shared" si="442"/>
        <v>SS SL 114879</v>
      </c>
      <c r="E2479" t="str">
        <f t="shared" si="435"/>
        <v>SS</v>
      </c>
      <c r="F2479" t="s">
        <v>25</v>
      </c>
      <c r="G2479" t="s">
        <v>22</v>
      </c>
      <c r="H2479">
        <v>2284.8000000000002</v>
      </c>
      <c r="I2479" t="str">
        <f t="shared" si="443"/>
        <v>Creative Support Ltd</v>
      </c>
      <c r="J2479" t="str">
        <f t="shared" si="444"/>
        <v>42 Church Lane (Creative Support) Private Contractors Agency And Contracted Services Supported Living Adult Health &amp; Social Care</v>
      </c>
    </row>
    <row r="2480" spans="1:10" x14ac:dyDescent="0.35">
      <c r="A2480" t="str">
        <f t="shared" si="441"/>
        <v>FEB</v>
      </c>
      <c r="B2480" t="str">
        <f t="shared" si="430"/>
        <v>21</v>
      </c>
      <c r="C2480" t="str">
        <f t="shared" si="434"/>
        <v>2020/21</v>
      </c>
      <c r="D2480" t="str">
        <f>"SS SL 114891"</f>
        <v>SS SL 114891</v>
      </c>
      <c r="E2480" t="str">
        <f t="shared" si="435"/>
        <v>SS</v>
      </c>
      <c r="F2480" t="s">
        <v>25</v>
      </c>
      <c r="G2480" t="s">
        <v>22</v>
      </c>
      <c r="H2480">
        <v>2284.8000000000002</v>
      </c>
      <c r="I2480" t="str">
        <f t="shared" si="443"/>
        <v>Creative Support Ltd</v>
      </c>
      <c r="J2480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2481" spans="1:10" x14ac:dyDescent="0.35">
      <c r="A2481" t="str">
        <f t="shared" si="441"/>
        <v>FEB</v>
      </c>
      <c r="B2481" t="str">
        <f t="shared" si="430"/>
        <v>21</v>
      </c>
      <c r="C2481" t="str">
        <f t="shared" si="434"/>
        <v>2020/21</v>
      </c>
      <c r="D2481" t="str">
        <f>"SS SL 114891"</f>
        <v>SS SL 114891</v>
      </c>
      <c r="E2481" t="str">
        <f t="shared" si="435"/>
        <v>SS</v>
      </c>
      <c r="F2481" t="s">
        <v>25</v>
      </c>
      <c r="G2481" t="s">
        <v>22</v>
      </c>
      <c r="H2481">
        <v>4150</v>
      </c>
      <c r="I2481" t="str">
        <f t="shared" si="443"/>
        <v>Creative Support Ltd</v>
      </c>
      <c r="J2481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2482" spans="1:10" x14ac:dyDescent="0.35">
      <c r="A2482" t="str">
        <f t="shared" si="441"/>
        <v>FEB</v>
      </c>
      <c r="B2482" t="str">
        <f t="shared" si="430"/>
        <v>21</v>
      </c>
      <c r="C2482" t="str">
        <f t="shared" si="434"/>
        <v>2020/21</v>
      </c>
      <c r="D2482" t="str">
        <f>"SS SL 114891"</f>
        <v>SS SL 114891</v>
      </c>
      <c r="E2482" t="str">
        <f t="shared" si="435"/>
        <v>SS</v>
      </c>
      <c r="F2482" t="s">
        <v>25</v>
      </c>
      <c r="G2482" t="s">
        <v>22</v>
      </c>
      <c r="H2482">
        <v>5345.2</v>
      </c>
      <c r="I2482" t="str">
        <f t="shared" si="443"/>
        <v>Creative Support Ltd</v>
      </c>
      <c r="J2482" t="str">
        <f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2483" spans="1:10" x14ac:dyDescent="0.35">
      <c r="A2483" t="str">
        <f t="shared" si="441"/>
        <v>FEB</v>
      </c>
      <c r="B2483" t="str">
        <f t="shared" ref="B2483:B2546" si="445">"21"</f>
        <v>21</v>
      </c>
      <c r="C2483" t="str">
        <f t="shared" si="434"/>
        <v>2020/21</v>
      </c>
      <c r="D2483" t="str">
        <f>"SS SL 114883"</f>
        <v>SS SL 114883</v>
      </c>
      <c r="E2483" t="str">
        <f t="shared" si="435"/>
        <v>SS</v>
      </c>
      <c r="F2483" t="s">
        <v>25</v>
      </c>
      <c r="G2483" t="s">
        <v>22</v>
      </c>
      <c r="H2483">
        <v>16560.8</v>
      </c>
      <c r="I2483" t="str">
        <f t="shared" si="443"/>
        <v>Creative Support Ltd</v>
      </c>
      <c r="J2483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2484" spans="1:10" x14ac:dyDescent="0.35">
      <c r="A2484" t="str">
        <f t="shared" si="441"/>
        <v>FEB</v>
      </c>
      <c r="B2484" t="str">
        <f t="shared" si="445"/>
        <v>21</v>
      </c>
      <c r="C2484" t="str">
        <f t="shared" si="434"/>
        <v>2020/21</v>
      </c>
      <c r="D2484" t="str">
        <f t="shared" ref="D2484:D2493" si="446">"SS SL 114882"</f>
        <v>SS SL 114882</v>
      </c>
      <c r="E2484" t="str">
        <f t="shared" si="435"/>
        <v>SS</v>
      </c>
      <c r="F2484" t="s">
        <v>25</v>
      </c>
      <c r="G2484" t="s">
        <v>22</v>
      </c>
      <c r="H2484">
        <v>1570.8</v>
      </c>
      <c r="I2484" t="str">
        <f t="shared" si="443"/>
        <v>Creative Support Ltd</v>
      </c>
      <c r="J2484" t="str">
        <f t="shared" ref="J2484:J2493" si="447"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2485" spans="1:10" x14ac:dyDescent="0.35">
      <c r="A2485" t="str">
        <f t="shared" si="441"/>
        <v>FEB</v>
      </c>
      <c r="B2485" t="str">
        <f t="shared" si="445"/>
        <v>21</v>
      </c>
      <c r="C2485" t="str">
        <f t="shared" si="434"/>
        <v>2020/21</v>
      </c>
      <c r="D2485" t="str">
        <f t="shared" si="446"/>
        <v>SS SL 114882</v>
      </c>
      <c r="E2485" t="str">
        <f t="shared" si="435"/>
        <v>SS</v>
      </c>
      <c r="F2485" t="s">
        <v>25</v>
      </c>
      <c r="G2485" t="s">
        <v>22</v>
      </c>
      <c r="H2485">
        <v>-10.8</v>
      </c>
      <c r="I2485" t="str">
        <f t="shared" si="443"/>
        <v>Creative Support Ltd</v>
      </c>
      <c r="J2485" t="str">
        <f t="shared" si="447"/>
        <v>Railway Terrace (Creative Support) Private Contractors Agency And Contracted Services Supported Living Adult Health &amp; Social Care</v>
      </c>
    </row>
    <row r="2486" spans="1:10" x14ac:dyDescent="0.35">
      <c r="A2486" t="str">
        <f t="shared" si="441"/>
        <v>FEB</v>
      </c>
      <c r="B2486" t="str">
        <f t="shared" si="445"/>
        <v>21</v>
      </c>
      <c r="C2486" t="str">
        <f t="shared" si="434"/>
        <v>2020/21</v>
      </c>
      <c r="D2486" t="str">
        <f t="shared" si="446"/>
        <v>SS SL 114882</v>
      </c>
      <c r="E2486" t="str">
        <f t="shared" si="435"/>
        <v>SS</v>
      </c>
      <c r="F2486" t="s">
        <v>25</v>
      </c>
      <c r="G2486" t="s">
        <v>22</v>
      </c>
      <c r="H2486">
        <v>1565.09</v>
      </c>
      <c r="I2486" t="str">
        <f t="shared" si="443"/>
        <v>Creative Support Ltd</v>
      </c>
      <c r="J2486" t="str">
        <f t="shared" si="447"/>
        <v>Railway Terrace (Creative Support) Private Contractors Agency And Contracted Services Supported Living Adult Health &amp; Social Care</v>
      </c>
    </row>
    <row r="2487" spans="1:10" x14ac:dyDescent="0.35">
      <c r="A2487" t="str">
        <f t="shared" si="441"/>
        <v>FEB</v>
      </c>
      <c r="B2487" t="str">
        <f t="shared" si="445"/>
        <v>21</v>
      </c>
      <c r="C2487" t="str">
        <f t="shared" si="434"/>
        <v>2020/21</v>
      </c>
      <c r="D2487" t="str">
        <f t="shared" si="446"/>
        <v>SS SL 114882</v>
      </c>
      <c r="E2487" t="str">
        <f t="shared" si="435"/>
        <v>SS</v>
      </c>
      <c r="F2487" t="s">
        <v>25</v>
      </c>
      <c r="G2487" t="s">
        <v>22</v>
      </c>
      <c r="H2487">
        <v>-5.09</v>
      </c>
      <c r="I2487" t="str">
        <f t="shared" si="443"/>
        <v>Creative Support Ltd</v>
      </c>
      <c r="J2487" t="str">
        <f t="shared" si="447"/>
        <v>Railway Terrace (Creative Support) Private Contractors Agency And Contracted Services Supported Living Adult Health &amp; Social Care</v>
      </c>
    </row>
    <row r="2488" spans="1:10" x14ac:dyDescent="0.35">
      <c r="A2488" t="str">
        <f t="shared" si="441"/>
        <v>FEB</v>
      </c>
      <c r="B2488" t="str">
        <f t="shared" si="445"/>
        <v>21</v>
      </c>
      <c r="C2488" t="str">
        <f t="shared" si="434"/>
        <v>2020/21</v>
      </c>
      <c r="D2488" t="str">
        <f t="shared" si="446"/>
        <v>SS SL 114882</v>
      </c>
      <c r="E2488" t="str">
        <f t="shared" si="435"/>
        <v>SS</v>
      </c>
      <c r="F2488" t="s">
        <v>25</v>
      </c>
      <c r="G2488" t="s">
        <v>22</v>
      </c>
      <c r="H2488">
        <v>2284.8000000000002</v>
      </c>
      <c r="I2488" t="str">
        <f t="shared" si="443"/>
        <v>Creative Support Ltd</v>
      </c>
      <c r="J2488" t="str">
        <f t="shared" si="447"/>
        <v>Railway Terrace (Creative Support) Private Contractors Agency And Contracted Services Supported Living Adult Health &amp; Social Care</v>
      </c>
    </row>
    <row r="2489" spans="1:10" x14ac:dyDescent="0.35">
      <c r="A2489" t="str">
        <f t="shared" si="441"/>
        <v>FEB</v>
      </c>
      <c r="B2489" t="str">
        <f t="shared" si="445"/>
        <v>21</v>
      </c>
      <c r="C2489" t="str">
        <f t="shared" si="434"/>
        <v>2020/21</v>
      </c>
      <c r="D2489" t="str">
        <f t="shared" si="446"/>
        <v>SS SL 114882</v>
      </c>
      <c r="E2489" t="str">
        <f t="shared" si="435"/>
        <v>SS</v>
      </c>
      <c r="F2489" t="s">
        <v>25</v>
      </c>
      <c r="G2489" t="s">
        <v>22</v>
      </c>
      <c r="H2489">
        <v>1626.8</v>
      </c>
      <c r="I2489" t="str">
        <f t="shared" si="443"/>
        <v>Creative Support Ltd</v>
      </c>
      <c r="J2489" t="str">
        <f t="shared" si="447"/>
        <v>Railway Terrace (Creative Support) Private Contractors Agency And Contracted Services Supported Living Adult Health &amp; Social Care</v>
      </c>
    </row>
    <row r="2490" spans="1:10" x14ac:dyDescent="0.35">
      <c r="A2490" t="str">
        <f t="shared" si="441"/>
        <v>FEB</v>
      </c>
      <c r="B2490" t="str">
        <f t="shared" si="445"/>
        <v>21</v>
      </c>
      <c r="C2490" t="str">
        <f t="shared" si="434"/>
        <v>2020/21</v>
      </c>
      <c r="D2490" t="str">
        <f t="shared" si="446"/>
        <v>SS SL 114882</v>
      </c>
      <c r="E2490" t="str">
        <f t="shared" si="435"/>
        <v>SS</v>
      </c>
      <c r="F2490" t="s">
        <v>25</v>
      </c>
      <c r="G2490" t="s">
        <v>22</v>
      </c>
      <c r="H2490">
        <v>2357.1999999999998</v>
      </c>
      <c r="I2490" t="str">
        <f t="shared" si="443"/>
        <v>Creative Support Ltd</v>
      </c>
      <c r="J2490" t="str">
        <f t="shared" si="447"/>
        <v>Railway Terrace (Creative Support) Private Contractors Agency And Contracted Services Supported Living Adult Health &amp; Social Care</v>
      </c>
    </row>
    <row r="2491" spans="1:10" x14ac:dyDescent="0.35">
      <c r="A2491" t="str">
        <f t="shared" si="441"/>
        <v>FEB</v>
      </c>
      <c r="B2491" t="str">
        <f t="shared" si="445"/>
        <v>21</v>
      </c>
      <c r="C2491" t="str">
        <f t="shared" si="434"/>
        <v>2020/21</v>
      </c>
      <c r="D2491" t="str">
        <f t="shared" si="446"/>
        <v>SS SL 114882</v>
      </c>
      <c r="E2491" t="str">
        <f t="shared" si="435"/>
        <v>SS</v>
      </c>
      <c r="F2491" t="s">
        <v>25</v>
      </c>
      <c r="G2491" t="s">
        <v>22</v>
      </c>
      <c r="H2491">
        <v>2490</v>
      </c>
      <c r="I2491" t="str">
        <f t="shared" si="443"/>
        <v>Creative Support Ltd</v>
      </c>
      <c r="J2491" t="str">
        <f t="shared" si="447"/>
        <v>Railway Terrace (Creative Support) Private Contractors Agency And Contracted Services Supported Living Adult Health &amp; Social Care</v>
      </c>
    </row>
    <row r="2492" spans="1:10" x14ac:dyDescent="0.35">
      <c r="A2492" t="str">
        <f t="shared" si="441"/>
        <v>FEB</v>
      </c>
      <c r="B2492" t="str">
        <f t="shared" si="445"/>
        <v>21</v>
      </c>
      <c r="C2492" t="str">
        <f t="shared" si="434"/>
        <v>2020/21</v>
      </c>
      <c r="D2492" t="str">
        <f t="shared" si="446"/>
        <v>SS SL 114882</v>
      </c>
      <c r="E2492" t="str">
        <f t="shared" si="435"/>
        <v>SS</v>
      </c>
      <c r="F2492" t="s">
        <v>25</v>
      </c>
      <c r="G2492" t="s">
        <v>22</v>
      </c>
      <c r="H2492">
        <v>2158</v>
      </c>
      <c r="I2492" t="str">
        <f t="shared" si="443"/>
        <v>Creative Support Ltd</v>
      </c>
      <c r="J2492" t="str">
        <f t="shared" si="447"/>
        <v>Railway Terrace (Creative Support) Private Contractors Agency And Contracted Services Supported Living Adult Health &amp; Social Care</v>
      </c>
    </row>
    <row r="2493" spans="1:10" x14ac:dyDescent="0.35">
      <c r="A2493" t="str">
        <f t="shared" si="441"/>
        <v>FEB</v>
      </c>
      <c r="B2493" t="str">
        <f t="shared" si="445"/>
        <v>21</v>
      </c>
      <c r="C2493" t="str">
        <f t="shared" si="434"/>
        <v>2020/21</v>
      </c>
      <c r="D2493" t="str">
        <f t="shared" si="446"/>
        <v>SS SL 114882</v>
      </c>
      <c r="E2493" t="str">
        <f t="shared" si="435"/>
        <v>SS</v>
      </c>
      <c r="F2493" t="s">
        <v>25</v>
      </c>
      <c r="G2493" t="s">
        <v>22</v>
      </c>
      <c r="H2493">
        <v>2158</v>
      </c>
      <c r="I2493" t="str">
        <f t="shared" si="443"/>
        <v>Creative Support Ltd</v>
      </c>
      <c r="J2493" t="str">
        <f t="shared" si="447"/>
        <v>Railway Terrace (Creative Support) Private Contractors Agency And Contracted Services Supported Living Adult Health &amp; Social Care</v>
      </c>
    </row>
    <row r="2494" spans="1:10" x14ac:dyDescent="0.35">
      <c r="A2494" t="str">
        <f t="shared" si="441"/>
        <v>FEB</v>
      </c>
      <c r="B2494" t="str">
        <f t="shared" si="445"/>
        <v>21</v>
      </c>
      <c r="C2494" t="str">
        <f t="shared" si="434"/>
        <v>2020/21</v>
      </c>
      <c r="D2494" t="str">
        <f>"SS SL 114892"</f>
        <v>SS SL 114892</v>
      </c>
      <c r="E2494" t="str">
        <f t="shared" si="435"/>
        <v>SS</v>
      </c>
      <c r="F2494" t="s">
        <v>25</v>
      </c>
      <c r="G2494" t="s">
        <v>22</v>
      </c>
      <c r="H2494">
        <v>2656</v>
      </c>
      <c r="I2494" t="str">
        <f t="shared" si="443"/>
        <v>Creative Support Ltd</v>
      </c>
      <c r="J2494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495" spans="1:10" x14ac:dyDescent="0.35">
      <c r="A2495" t="str">
        <f t="shared" si="441"/>
        <v>FEB</v>
      </c>
      <c r="B2495" t="str">
        <f t="shared" si="445"/>
        <v>21</v>
      </c>
      <c r="C2495" t="str">
        <f t="shared" si="434"/>
        <v>2020/21</v>
      </c>
      <c r="D2495" t="str">
        <f>"SS SL 114892"</f>
        <v>SS SL 114892</v>
      </c>
      <c r="E2495" t="str">
        <f t="shared" si="435"/>
        <v>SS</v>
      </c>
      <c r="F2495" t="s">
        <v>25</v>
      </c>
      <c r="G2495" t="s">
        <v>22</v>
      </c>
      <c r="H2495">
        <v>2788.8</v>
      </c>
      <c r="I2495" t="str">
        <f t="shared" si="443"/>
        <v>Creative Support Ltd</v>
      </c>
      <c r="J2495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496" spans="1:10" x14ac:dyDescent="0.35">
      <c r="A2496" t="str">
        <f t="shared" si="441"/>
        <v>FEB</v>
      </c>
      <c r="B2496" t="str">
        <f t="shared" si="445"/>
        <v>21</v>
      </c>
      <c r="C2496" t="str">
        <f t="shared" si="434"/>
        <v>2020/21</v>
      </c>
      <c r="D2496" t="str">
        <f>"SS SL 114892"</f>
        <v>SS SL 114892</v>
      </c>
      <c r="E2496" t="str">
        <f t="shared" si="435"/>
        <v>SS</v>
      </c>
      <c r="F2496" t="s">
        <v>25</v>
      </c>
      <c r="G2496" t="s">
        <v>22</v>
      </c>
      <c r="H2496">
        <v>3270.2</v>
      </c>
      <c r="I2496" t="str">
        <f t="shared" si="443"/>
        <v>Creative Support Ltd</v>
      </c>
      <c r="J2496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497" spans="1:10" x14ac:dyDescent="0.35">
      <c r="A2497" t="str">
        <f t="shared" si="441"/>
        <v>FEB</v>
      </c>
      <c r="B2497" t="str">
        <f t="shared" si="445"/>
        <v>21</v>
      </c>
      <c r="C2497" t="str">
        <f t="shared" si="434"/>
        <v>2020/21</v>
      </c>
      <c r="D2497" t="str">
        <f>"SS SL 114892"</f>
        <v>SS SL 114892</v>
      </c>
      <c r="E2497" t="str">
        <f t="shared" si="435"/>
        <v>SS</v>
      </c>
      <c r="F2497" t="s">
        <v>25</v>
      </c>
      <c r="G2497" t="s">
        <v>22</v>
      </c>
      <c r="H2497">
        <v>3253.6</v>
      </c>
      <c r="I2497" t="str">
        <f t="shared" si="443"/>
        <v>Creative Support Ltd</v>
      </c>
      <c r="J2497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498" spans="1:10" x14ac:dyDescent="0.35">
      <c r="A2498" t="str">
        <f t="shared" si="441"/>
        <v>FEB</v>
      </c>
      <c r="B2498" t="str">
        <f t="shared" si="445"/>
        <v>21</v>
      </c>
      <c r="C2498" t="str">
        <f t="shared" ref="C2498:C2561" si="448">"2020/21"</f>
        <v>2020/21</v>
      </c>
      <c r="D2498" t="str">
        <f>"SS SL 114892"</f>
        <v>SS SL 114892</v>
      </c>
      <c r="E2498" t="str">
        <f t="shared" ref="E2498:E2561" si="449">LEFT(D2498,2)</f>
        <v>SS</v>
      </c>
      <c r="F2498" t="s">
        <v>25</v>
      </c>
      <c r="G2498" t="s">
        <v>22</v>
      </c>
      <c r="H2498">
        <v>2284.8000000000002</v>
      </c>
      <c r="I2498" t="str">
        <f t="shared" si="443"/>
        <v>Creative Support Ltd</v>
      </c>
      <c r="J2498" t="str">
        <f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499" spans="1:10" x14ac:dyDescent="0.35">
      <c r="A2499" t="str">
        <f t="shared" si="441"/>
        <v>FEB</v>
      </c>
      <c r="B2499" t="str">
        <f t="shared" si="445"/>
        <v>21</v>
      </c>
      <c r="C2499" t="str">
        <f t="shared" si="448"/>
        <v>2020/21</v>
      </c>
      <c r="D2499" t="str">
        <f>"SS SL 113638"</f>
        <v>SS SL 113638</v>
      </c>
      <c r="E2499" t="str">
        <f t="shared" si="449"/>
        <v>SS</v>
      </c>
      <c r="F2499" t="s">
        <v>25</v>
      </c>
      <c r="G2499" t="s">
        <v>22</v>
      </c>
      <c r="H2499">
        <v>4849.76</v>
      </c>
      <c r="I2499" t="str">
        <f>"Autism Plus Ltd"</f>
        <v>Autism Plus Ltd</v>
      </c>
      <c r="J2499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2500" spans="1:10" x14ac:dyDescent="0.35">
      <c r="A2500" t="str">
        <f t="shared" si="441"/>
        <v>FEB</v>
      </c>
      <c r="B2500" t="str">
        <f t="shared" si="445"/>
        <v>21</v>
      </c>
      <c r="C2500" t="str">
        <f t="shared" si="448"/>
        <v>2020/21</v>
      </c>
      <c r="D2500" t="str">
        <f>"SS SL 113638"</f>
        <v>SS SL 113638</v>
      </c>
      <c r="E2500" t="str">
        <f t="shared" si="449"/>
        <v>SS</v>
      </c>
      <c r="F2500" t="s">
        <v>25</v>
      </c>
      <c r="G2500" t="s">
        <v>22</v>
      </c>
      <c r="H2500">
        <v>4849.76</v>
      </c>
      <c r="I2500" t="str">
        <f>"Autism Plus Ltd"</f>
        <v>Autism Plus Ltd</v>
      </c>
      <c r="J2500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2501" spans="1:10" x14ac:dyDescent="0.35">
      <c r="A2501" t="str">
        <f t="shared" si="441"/>
        <v>FEB</v>
      </c>
      <c r="B2501" t="str">
        <f t="shared" si="445"/>
        <v>21</v>
      </c>
      <c r="C2501" t="str">
        <f t="shared" si="448"/>
        <v>2020/21</v>
      </c>
      <c r="D2501" t="str">
        <f>"SS SL 114877"</f>
        <v>SS SL 114877</v>
      </c>
      <c r="E2501" t="str">
        <f t="shared" si="449"/>
        <v>SS</v>
      </c>
      <c r="F2501" t="s">
        <v>25</v>
      </c>
      <c r="G2501" t="s">
        <v>22</v>
      </c>
      <c r="H2501">
        <v>1493.36</v>
      </c>
      <c r="I2501" t="str">
        <f>"Creative Support Ltd"</f>
        <v>Creative Support Ltd</v>
      </c>
      <c r="J2501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502" spans="1:10" x14ac:dyDescent="0.35">
      <c r="A2502" t="str">
        <f t="shared" si="441"/>
        <v>FEB</v>
      </c>
      <c r="B2502" t="str">
        <f t="shared" si="445"/>
        <v>21</v>
      </c>
      <c r="C2502" t="str">
        <f t="shared" si="448"/>
        <v>2020/21</v>
      </c>
      <c r="D2502" t="str">
        <f>"SS SL 114877"</f>
        <v>SS SL 114877</v>
      </c>
      <c r="E2502" t="str">
        <f t="shared" si="449"/>
        <v>SS</v>
      </c>
      <c r="F2502" t="s">
        <v>25</v>
      </c>
      <c r="G2502" t="s">
        <v>22</v>
      </c>
      <c r="H2502">
        <v>7428.88</v>
      </c>
      <c r="I2502" t="str">
        <f>"Creative Support Ltd"</f>
        <v>Creative Support Ltd</v>
      </c>
      <c r="J2502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503" spans="1:10" x14ac:dyDescent="0.35">
      <c r="A2503" t="str">
        <f t="shared" si="441"/>
        <v>FEB</v>
      </c>
      <c r="B2503" t="str">
        <f t="shared" si="445"/>
        <v>21</v>
      </c>
      <c r="C2503" t="str">
        <f t="shared" si="448"/>
        <v>2020/21</v>
      </c>
      <c r="D2503" t="str">
        <f>"SS SL 114877"</f>
        <v>SS SL 114877</v>
      </c>
      <c r="E2503" t="str">
        <f t="shared" si="449"/>
        <v>SS</v>
      </c>
      <c r="F2503" t="s">
        <v>25</v>
      </c>
      <c r="G2503" t="s">
        <v>22</v>
      </c>
      <c r="H2503">
        <v>2526.7199999999998</v>
      </c>
      <c r="I2503" t="str">
        <f>"Creative Support Ltd"</f>
        <v>Creative Support Ltd</v>
      </c>
      <c r="J2503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504" spans="1:10" x14ac:dyDescent="0.35">
      <c r="A2504" t="str">
        <f t="shared" si="441"/>
        <v>FEB</v>
      </c>
      <c r="B2504" t="str">
        <f t="shared" si="445"/>
        <v>21</v>
      </c>
      <c r="C2504" t="str">
        <f t="shared" si="448"/>
        <v>2020/21</v>
      </c>
      <c r="D2504" t="str">
        <f>"SS SL 114877"</f>
        <v>SS SL 114877</v>
      </c>
      <c r="E2504" t="str">
        <f t="shared" si="449"/>
        <v>SS</v>
      </c>
      <c r="F2504" t="s">
        <v>25</v>
      </c>
      <c r="G2504" t="s">
        <v>22</v>
      </c>
      <c r="H2504">
        <v>8368.56</v>
      </c>
      <c r="I2504" t="str">
        <f>"Creative Support Ltd"</f>
        <v>Creative Support Ltd</v>
      </c>
      <c r="J2504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505" spans="1:10" x14ac:dyDescent="0.35">
      <c r="A2505" t="str">
        <f t="shared" si="441"/>
        <v>FEB</v>
      </c>
      <c r="B2505" t="str">
        <f t="shared" si="445"/>
        <v>21</v>
      </c>
      <c r="C2505" t="str">
        <f t="shared" si="448"/>
        <v>2020/21</v>
      </c>
      <c r="D2505" t="str">
        <f>"SS SL 114877"</f>
        <v>SS SL 114877</v>
      </c>
      <c r="E2505" t="str">
        <f t="shared" si="449"/>
        <v>SS</v>
      </c>
      <c r="F2505" t="s">
        <v>25</v>
      </c>
      <c r="G2505" t="s">
        <v>22</v>
      </c>
      <c r="H2505">
        <v>-0.05</v>
      </c>
      <c r="I2505" t="str">
        <f>"Creative Support Ltd"</f>
        <v>Creative Support Ltd</v>
      </c>
      <c r="J2505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506" spans="1:10" x14ac:dyDescent="0.35">
      <c r="A2506" t="str">
        <f t="shared" si="441"/>
        <v>FEB</v>
      </c>
      <c r="B2506" t="str">
        <f t="shared" si="445"/>
        <v>21</v>
      </c>
      <c r="C2506" t="str">
        <f t="shared" si="448"/>
        <v>2020/21</v>
      </c>
      <c r="D2506" t="str">
        <f t="shared" ref="D2506:D2520" si="450">"SS SL 114855"</f>
        <v>SS SL 114855</v>
      </c>
      <c r="E2506" t="str">
        <f t="shared" si="449"/>
        <v>SS</v>
      </c>
      <c r="F2506" t="s">
        <v>25</v>
      </c>
      <c r="G2506" t="s">
        <v>22</v>
      </c>
      <c r="H2506">
        <v>709.2</v>
      </c>
      <c r="I2506" t="str">
        <f t="shared" ref="I2506:I2520" si="451">"The Mayfield Trust"</f>
        <v>The Mayfield Trust</v>
      </c>
      <c r="J2506" t="str">
        <f t="shared" ref="J2506:J2520" si="452"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2507" spans="1:10" x14ac:dyDescent="0.35">
      <c r="A2507" t="str">
        <f t="shared" si="441"/>
        <v>FEB</v>
      </c>
      <c r="B2507" t="str">
        <f t="shared" si="445"/>
        <v>21</v>
      </c>
      <c r="C2507" t="str">
        <f t="shared" si="448"/>
        <v>2020/21</v>
      </c>
      <c r="D2507" t="str">
        <f t="shared" si="450"/>
        <v>SS SL 114855</v>
      </c>
      <c r="E2507" t="str">
        <f t="shared" si="449"/>
        <v>SS</v>
      </c>
      <c r="F2507" t="s">
        <v>25</v>
      </c>
      <c r="G2507" t="s">
        <v>22</v>
      </c>
      <c r="H2507">
        <v>1560.24</v>
      </c>
      <c r="I2507" t="str">
        <f t="shared" si="451"/>
        <v>The Mayfield Trust</v>
      </c>
      <c r="J2507" t="str">
        <f t="shared" si="452"/>
        <v>Mayfield Mews (Mayfield) Private Contractors Agency And Contracted Services Supported Living Adult Health &amp; Social Care</v>
      </c>
    </row>
    <row r="2508" spans="1:10" x14ac:dyDescent="0.35">
      <c r="A2508" t="str">
        <f t="shared" si="441"/>
        <v>FEB</v>
      </c>
      <c r="B2508" t="str">
        <f t="shared" si="445"/>
        <v>21</v>
      </c>
      <c r="C2508" t="str">
        <f t="shared" si="448"/>
        <v>2020/21</v>
      </c>
      <c r="D2508" t="str">
        <f t="shared" si="450"/>
        <v>SS SL 114855</v>
      </c>
      <c r="E2508" t="str">
        <f t="shared" si="449"/>
        <v>SS</v>
      </c>
      <c r="F2508" t="s">
        <v>25</v>
      </c>
      <c r="G2508" t="s">
        <v>22</v>
      </c>
      <c r="H2508">
        <v>709.2</v>
      </c>
      <c r="I2508" t="str">
        <f t="shared" si="451"/>
        <v>The Mayfield Trust</v>
      </c>
      <c r="J2508" t="str">
        <f t="shared" si="452"/>
        <v>Mayfield Mews (Mayfield) Private Contractors Agency And Contracted Services Supported Living Adult Health &amp; Social Care</v>
      </c>
    </row>
    <row r="2509" spans="1:10" x14ac:dyDescent="0.35">
      <c r="A2509" t="str">
        <f t="shared" si="441"/>
        <v>FEB</v>
      </c>
      <c r="B2509" t="str">
        <f t="shared" si="445"/>
        <v>21</v>
      </c>
      <c r="C2509" t="str">
        <f t="shared" si="448"/>
        <v>2020/21</v>
      </c>
      <c r="D2509" t="str">
        <f t="shared" si="450"/>
        <v>SS SL 114855</v>
      </c>
      <c r="E2509" t="str">
        <f t="shared" si="449"/>
        <v>SS</v>
      </c>
      <c r="F2509" t="s">
        <v>25</v>
      </c>
      <c r="G2509" t="s">
        <v>22</v>
      </c>
      <c r="H2509">
        <v>1560.24</v>
      </c>
      <c r="I2509" t="str">
        <f t="shared" si="451"/>
        <v>The Mayfield Trust</v>
      </c>
      <c r="J2509" t="str">
        <f t="shared" si="452"/>
        <v>Mayfield Mews (Mayfield) Private Contractors Agency And Contracted Services Supported Living Adult Health &amp; Social Care</v>
      </c>
    </row>
    <row r="2510" spans="1:10" x14ac:dyDescent="0.35">
      <c r="A2510" t="str">
        <f t="shared" si="441"/>
        <v>FEB</v>
      </c>
      <c r="B2510" t="str">
        <f t="shared" si="445"/>
        <v>21</v>
      </c>
      <c r="C2510" t="str">
        <f t="shared" si="448"/>
        <v>2020/21</v>
      </c>
      <c r="D2510" t="str">
        <f t="shared" si="450"/>
        <v>SS SL 114855</v>
      </c>
      <c r="E2510" t="str">
        <f t="shared" si="449"/>
        <v>SS</v>
      </c>
      <c r="F2510" t="s">
        <v>25</v>
      </c>
      <c r="G2510" t="s">
        <v>22</v>
      </c>
      <c r="H2510">
        <v>709.2</v>
      </c>
      <c r="I2510" t="str">
        <f t="shared" si="451"/>
        <v>The Mayfield Trust</v>
      </c>
      <c r="J2510" t="str">
        <f t="shared" si="452"/>
        <v>Mayfield Mews (Mayfield) Private Contractors Agency And Contracted Services Supported Living Adult Health &amp; Social Care</v>
      </c>
    </row>
    <row r="2511" spans="1:10" x14ac:dyDescent="0.35">
      <c r="A2511" t="str">
        <f t="shared" si="441"/>
        <v>FEB</v>
      </c>
      <c r="B2511" t="str">
        <f t="shared" si="445"/>
        <v>21</v>
      </c>
      <c r="C2511" t="str">
        <f t="shared" si="448"/>
        <v>2020/21</v>
      </c>
      <c r="D2511" t="str">
        <f t="shared" si="450"/>
        <v>SS SL 114855</v>
      </c>
      <c r="E2511" t="str">
        <f t="shared" si="449"/>
        <v>SS</v>
      </c>
      <c r="F2511" t="s">
        <v>25</v>
      </c>
      <c r="G2511" t="s">
        <v>22</v>
      </c>
      <c r="H2511">
        <v>1560.24</v>
      </c>
      <c r="I2511" t="str">
        <f t="shared" si="451"/>
        <v>The Mayfield Trust</v>
      </c>
      <c r="J2511" t="str">
        <f t="shared" si="452"/>
        <v>Mayfield Mews (Mayfield) Private Contractors Agency And Contracted Services Supported Living Adult Health &amp; Social Care</v>
      </c>
    </row>
    <row r="2512" spans="1:10" x14ac:dyDescent="0.35">
      <c r="A2512" t="str">
        <f t="shared" si="441"/>
        <v>FEB</v>
      </c>
      <c r="B2512" t="str">
        <f t="shared" si="445"/>
        <v>21</v>
      </c>
      <c r="C2512" t="str">
        <f t="shared" si="448"/>
        <v>2020/21</v>
      </c>
      <c r="D2512" t="str">
        <f t="shared" si="450"/>
        <v>SS SL 114855</v>
      </c>
      <c r="E2512" t="str">
        <f t="shared" si="449"/>
        <v>SS</v>
      </c>
      <c r="F2512" t="s">
        <v>25</v>
      </c>
      <c r="G2512" t="s">
        <v>22</v>
      </c>
      <c r="H2512">
        <v>2284.8000000000002</v>
      </c>
      <c r="I2512" t="str">
        <f t="shared" si="451"/>
        <v>The Mayfield Trust</v>
      </c>
      <c r="J2512" t="str">
        <f t="shared" si="452"/>
        <v>Mayfield Mews (Mayfield) Private Contractors Agency And Contracted Services Supported Living Adult Health &amp; Social Care</v>
      </c>
    </row>
    <row r="2513" spans="1:10" x14ac:dyDescent="0.35">
      <c r="A2513" t="str">
        <f t="shared" si="441"/>
        <v>FEB</v>
      </c>
      <c r="B2513" t="str">
        <f t="shared" si="445"/>
        <v>21</v>
      </c>
      <c r="C2513" t="str">
        <f t="shared" si="448"/>
        <v>2020/21</v>
      </c>
      <c r="D2513" t="str">
        <f t="shared" si="450"/>
        <v>SS SL 114855</v>
      </c>
      <c r="E2513" t="str">
        <f t="shared" si="449"/>
        <v>SS</v>
      </c>
      <c r="F2513" t="s">
        <v>25</v>
      </c>
      <c r="G2513" t="s">
        <v>22</v>
      </c>
      <c r="H2513">
        <v>2606.31</v>
      </c>
      <c r="I2513" t="str">
        <f t="shared" si="451"/>
        <v>The Mayfield Trust</v>
      </c>
      <c r="J2513" t="str">
        <f t="shared" si="452"/>
        <v>Mayfield Mews (Mayfield) Private Contractors Agency And Contracted Services Supported Living Adult Health &amp; Social Care</v>
      </c>
    </row>
    <row r="2514" spans="1:10" x14ac:dyDescent="0.35">
      <c r="A2514" t="str">
        <f t="shared" si="441"/>
        <v>FEB</v>
      </c>
      <c r="B2514" t="str">
        <f t="shared" si="445"/>
        <v>21</v>
      </c>
      <c r="C2514" t="str">
        <f t="shared" si="448"/>
        <v>2020/21</v>
      </c>
      <c r="D2514" t="str">
        <f t="shared" si="450"/>
        <v>SS SL 114855</v>
      </c>
      <c r="E2514" t="str">
        <f t="shared" si="449"/>
        <v>SS</v>
      </c>
      <c r="F2514" t="s">
        <v>25</v>
      </c>
      <c r="G2514" t="s">
        <v>22</v>
      </c>
      <c r="H2514">
        <v>2905</v>
      </c>
      <c r="I2514" t="str">
        <f t="shared" si="451"/>
        <v>The Mayfield Trust</v>
      </c>
      <c r="J2514" t="str">
        <f t="shared" si="452"/>
        <v>Mayfield Mews (Mayfield) Private Contractors Agency And Contracted Services Supported Living Adult Health &amp; Social Care</v>
      </c>
    </row>
    <row r="2515" spans="1:10" x14ac:dyDescent="0.35">
      <c r="A2515" t="str">
        <f t="shared" si="441"/>
        <v>FEB</v>
      </c>
      <c r="B2515" t="str">
        <f t="shared" si="445"/>
        <v>21</v>
      </c>
      <c r="C2515" t="str">
        <f t="shared" si="448"/>
        <v>2020/21</v>
      </c>
      <c r="D2515" t="str">
        <f t="shared" si="450"/>
        <v>SS SL 114855</v>
      </c>
      <c r="E2515" t="str">
        <f t="shared" si="449"/>
        <v>SS</v>
      </c>
      <c r="F2515" t="s">
        <v>25</v>
      </c>
      <c r="G2515" t="s">
        <v>22</v>
      </c>
      <c r="H2515">
        <v>3369.8</v>
      </c>
      <c r="I2515" t="str">
        <f t="shared" si="451"/>
        <v>The Mayfield Trust</v>
      </c>
      <c r="J2515" t="str">
        <f t="shared" si="452"/>
        <v>Mayfield Mews (Mayfield) Private Contractors Agency And Contracted Services Supported Living Adult Health &amp; Social Care</v>
      </c>
    </row>
    <row r="2516" spans="1:10" x14ac:dyDescent="0.35">
      <c r="A2516" t="str">
        <f t="shared" si="441"/>
        <v>FEB</v>
      </c>
      <c r="B2516" t="str">
        <f t="shared" si="445"/>
        <v>21</v>
      </c>
      <c r="C2516" t="str">
        <f t="shared" si="448"/>
        <v>2020/21</v>
      </c>
      <c r="D2516" t="str">
        <f t="shared" si="450"/>
        <v>SS SL 114855</v>
      </c>
      <c r="E2516" t="str">
        <f t="shared" si="449"/>
        <v>SS</v>
      </c>
      <c r="F2516" t="s">
        <v>25</v>
      </c>
      <c r="G2516" t="s">
        <v>22</v>
      </c>
      <c r="H2516">
        <v>4648</v>
      </c>
      <c r="I2516" t="str">
        <f t="shared" si="451"/>
        <v>The Mayfield Trust</v>
      </c>
      <c r="J2516" t="str">
        <f t="shared" si="452"/>
        <v>Mayfield Mews (Mayfield) Private Contractors Agency And Contracted Services Supported Living Adult Health &amp; Social Care</v>
      </c>
    </row>
    <row r="2517" spans="1:10" x14ac:dyDescent="0.35">
      <c r="A2517" t="str">
        <f t="shared" si="441"/>
        <v>FEB</v>
      </c>
      <c r="B2517" t="str">
        <f t="shared" si="445"/>
        <v>21</v>
      </c>
      <c r="C2517" t="str">
        <f t="shared" si="448"/>
        <v>2020/21</v>
      </c>
      <c r="D2517" t="str">
        <f t="shared" si="450"/>
        <v>SS SL 114855</v>
      </c>
      <c r="E2517" t="str">
        <f t="shared" si="449"/>
        <v>SS</v>
      </c>
      <c r="F2517" t="s">
        <v>25</v>
      </c>
      <c r="G2517" t="s">
        <v>22</v>
      </c>
      <c r="H2517">
        <v>3104.2</v>
      </c>
      <c r="I2517" t="str">
        <f t="shared" si="451"/>
        <v>The Mayfield Trust</v>
      </c>
      <c r="J2517" t="str">
        <f t="shared" si="452"/>
        <v>Mayfield Mews (Mayfield) Private Contractors Agency And Contracted Services Supported Living Adult Health &amp; Social Care</v>
      </c>
    </row>
    <row r="2518" spans="1:10" x14ac:dyDescent="0.35">
      <c r="A2518" t="str">
        <f t="shared" si="441"/>
        <v>FEB</v>
      </c>
      <c r="B2518" t="str">
        <f t="shared" si="445"/>
        <v>21</v>
      </c>
      <c r="C2518" t="str">
        <f t="shared" si="448"/>
        <v>2020/21</v>
      </c>
      <c r="D2518" t="str">
        <f t="shared" si="450"/>
        <v>SS SL 114855</v>
      </c>
      <c r="E2518" t="str">
        <f t="shared" si="449"/>
        <v>SS</v>
      </c>
      <c r="F2518" t="s">
        <v>25</v>
      </c>
      <c r="G2518" t="s">
        <v>22</v>
      </c>
      <c r="H2518">
        <v>2905</v>
      </c>
      <c r="I2518" t="str">
        <f t="shared" si="451"/>
        <v>The Mayfield Trust</v>
      </c>
      <c r="J2518" t="str">
        <f t="shared" si="452"/>
        <v>Mayfield Mews (Mayfield) Private Contractors Agency And Contracted Services Supported Living Adult Health &amp; Social Care</v>
      </c>
    </row>
    <row r="2519" spans="1:10" x14ac:dyDescent="0.35">
      <c r="A2519" t="str">
        <f t="shared" si="441"/>
        <v>FEB</v>
      </c>
      <c r="B2519" t="str">
        <f t="shared" si="445"/>
        <v>21</v>
      </c>
      <c r="C2519" t="str">
        <f t="shared" si="448"/>
        <v>2020/21</v>
      </c>
      <c r="D2519" t="str">
        <f t="shared" si="450"/>
        <v>SS SL 114855</v>
      </c>
      <c r="E2519" t="str">
        <f t="shared" si="449"/>
        <v>SS</v>
      </c>
      <c r="F2519" t="s">
        <v>25</v>
      </c>
      <c r="G2519" t="s">
        <v>22</v>
      </c>
      <c r="H2519">
        <v>2905</v>
      </c>
      <c r="I2519" t="str">
        <f t="shared" si="451"/>
        <v>The Mayfield Trust</v>
      </c>
      <c r="J2519" t="str">
        <f t="shared" si="452"/>
        <v>Mayfield Mews (Mayfield) Private Contractors Agency And Contracted Services Supported Living Adult Health &amp; Social Care</v>
      </c>
    </row>
    <row r="2520" spans="1:10" x14ac:dyDescent="0.35">
      <c r="A2520" t="str">
        <f t="shared" si="441"/>
        <v>FEB</v>
      </c>
      <c r="B2520" t="str">
        <f t="shared" si="445"/>
        <v>21</v>
      </c>
      <c r="C2520" t="str">
        <f t="shared" si="448"/>
        <v>2020/21</v>
      </c>
      <c r="D2520" t="str">
        <f t="shared" si="450"/>
        <v>SS SL 114855</v>
      </c>
      <c r="E2520" t="str">
        <f t="shared" si="449"/>
        <v>SS</v>
      </c>
      <c r="F2520" t="s">
        <v>25</v>
      </c>
      <c r="G2520" t="s">
        <v>22</v>
      </c>
      <c r="H2520">
        <v>2606.31</v>
      </c>
      <c r="I2520" t="str">
        <f t="shared" si="451"/>
        <v>The Mayfield Trust</v>
      </c>
      <c r="J2520" t="str">
        <f t="shared" si="452"/>
        <v>Mayfield Mews (Mayfield) Private Contractors Agency And Contracted Services Supported Living Adult Health &amp; Social Care</v>
      </c>
    </row>
    <row r="2521" spans="1:10" x14ac:dyDescent="0.35">
      <c r="A2521" t="str">
        <f t="shared" si="441"/>
        <v>FEB</v>
      </c>
      <c r="B2521" t="str">
        <f t="shared" si="445"/>
        <v>21</v>
      </c>
      <c r="C2521" t="str">
        <f t="shared" si="448"/>
        <v>2020/21</v>
      </c>
      <c r="D2521" t="str">
        <f>"SS AD 117313"</f>
        <v>SS AD 117313</v>
      </c>
      <c r="E2521" t="str">
        <f t="shared" si="449"/>
        <v>SS</v>
      </c>
      <c r="F2521" t="s">
        <v>25</v>
      </c>
      <c r="G2521" t="s">
        <v>22</v>
      </c>
      <c r="H2521">
        <v>8192.2999999999993</v>
      </c>
      <c r="I2521" t="str">
        <f>"Creative Support Ltd"</f>
        <v>Creative Support Ltd</v>
      </c>
      <c r="J2521" t="str">
        <f>"Covid 19 Rapid Testing Fund Private Contractors Agency And Contracted Services Supported Living Adult Health &amp; Social Care"</f>
        <v>Covid 19 Rapid Testing Fund Private Contractors Agency And Contracted Services Supported Living Adult Health &amp; Social Care</v>
      </c>
    </row>
    <row r="2522" spans="1:10" x14ac:dyDescent="0.35">
      <c r="A2522" t="str">
        <f t="shared" si="441"/>
        <v>FEB</v>
      </c>
      <c r="B2522" t="str">
        <f t="shared" si="445"/>
        <v>21</v>
      </c>
      <c r="C2522" t="str">
        <f t="shared" si="448"/>
        <v>2020/21</v>
      </c>
      <c r="D2522" t="str">
        <f>"SS CO 114195"</f>
        <v>SS CO 114195</v>
      </c>
      <c r="E2522" t="str">
        <f t="shared" si="449"/>
        <v>SS</v>
      </c>
      <c r="F2522" t="s">
        <v>25</v>
      </c>
      <c r="G2522" t="s">
        <v>22</v>
      </c>
      <c r="H2522">
        <v>2458.33</v>
      </c>
      <c r="I2522" t="str">
        <f>"Our Place"</f>
        <v>Our Place</v>
      </c>
      <c r="J2522" t="str">
        <f>"Sunday &amp; Weekend Care (part BCF) Voluntary Associations Agency And Contracted Services Carers Support Adult Health &amp; Social Care"</f>
        <v>Sunday &amp; Weekend Care (part BCF) Voluntary Associations Agency And Contracted Services Carers Support Adult Health &amp; Social Care</v>
      </c>
    </row>
    <row r="2523" spans="1:10" x14ac:dyDescent="0.35">
      <c r="A2523" t="str">
        <f t="shared" si="441"/>
        <v>FEB</v>
      </c>
      <c r="B2523" t="str">
        <f t="shared" si="445"/>
        <v>21</v>
      </c>
      <c r="C2523" t="str">
        <f t="shared" si="448"/>
        <v>2020/21</v>
      </c>
      <c r="D2523" t="str">
        <f>"SS AD 117105"</f>
        <v>SS AD 117105</v>
      </c>
      <c r="E2523" t="str">
        <f t="shared" si="449"/>
        <v>SS</v>
      </c>
      <c r="F2523" t="s">
        <v>25</v>
      </c>
      <c r="G2523" t="s">
        <v>22</v>
      </c>
      <c r="H2523">
        <v>11162.8</v>
      </c>
      <c r="I2523" t="str">
        <f>"Anchor Trust"</f>
        <v>Anchor Trust</v>
      </c>
      <c r="J2523" t="str">
        <f>"Covid-19 Rapid Testing Fund Private Contractors Agency And Contracted Services Residential &amp; Nursing Placements (Older People) Adult Health &amp; So"</f>
        <v>Covid-19 Rapid Testing Fund Private Contractors Agency And Contracted Services Residential &amp; Nursing Placements (Older People) Adult Health &amp; So</v>
      </c>
    </row>
    <row r="2524" spans="1:10" x14ac:dyDescent="0.35">
      <c r="A2524" t="str">
        <f t="shared" si="441"/>
        <v>FEB</v>
      </c>
      <c r="B2524" t="str">
        <f t="shared" si="445"/>
        <v>21</v>
      </c>
      <c r="C2524" t="str">
        <f t="shared" si="448"/>
        <v>2020/21</v>
      </c>
      <c r="D2524" t="str">
        <f>"SS AD 117107"</f>
        <v>SS AD 117107</v>
      </c>
      <c r="E2524" t="str">
        <f t="shared" si="449"/>
        <v>SS</v>
      </c>
      <c r="F2524" t="s">
        <v>25</v>
      </c>
      <c r="G2524" t="s">
        <v>22</v>
      </c>
      <c r="H2524">
        <v>12685</v>
      </c>
      <c r="I2524" t="str">
        <f>"Anchor Trust"</f>
        <v>Anchor Trust</v>
      </c>
      <c r="J2524" t="str">
        <f>"Covid-19 Rapid Testing Fund Private Contractors Agency And Contracted Services Residential &amp; Nursing Placements (Older People) Adult Health &amp; So"</f>
        <v>Covid-19 Rapid Testing Fund Private Contractors Agency And Contracted Services Residential &amp; Nursing Placements (Older People) Adult Health &amp; So</v>
      </c>
    </row>
    <row r="2525" spans="1:10" x14ac:dyDescent="0.35">
      <c r="A2525" t="str">
        <f t="shared" si="441"/>
        <v>FEB</v>
      </c>
      <c r="B2525" t="str">
        <f t="shared" si="445"/>
        <v>21</v>
      </c>
      <c r="C2525" t="str">
        <f t="shared" si="448"/>
        <v>2020/21</v>
      </c>
      <c r="D2525" t="str">
        <f>"SS AD 117264"</f>
        <v>SS AD 117264</v>
      </c>
      <c r="E2525" t="str">
        <f t="shared" si="449"/>
        <v>SS</v>
      </c>
      <c r="F2525" t="s">
        <v>25</v>
      </c>
      <c r="G2525" t="s">
        <v>22</v>
      </c>
      <c r="H2525">
        <v>2790.7</v>
      </c>
      <c r="I2525" t="str">
        <f>"The Basement Recovery Project"</f>
        <v>The Basement Recovery Project</v>
      </c>
      <c r="J2525" t="str">
        <f>"Covid-19 Rapid Testing Fund Private Contractors Agency And Contracted Services Residential &amp; Nursing Placements (Older People) Adult Health &amp; So"</f>
        <v>Covid-19 Rapid Testing Fund Private Contractors Agency And Contracted Services Residential &amp; Nursing Placements (Older People) Adult Health &amp; So</v>
      </c>
    </row>
    <row r="2526" spans="1:10" x14ac:dyDescent="0.35">
      <c r="A2526" t="str">
        <f t="shared" si="441"/>
        <v>FEB</v>
      </c>
      <c r="B2526" t="str">
        <f t="shared" si="445"/>
        <v>21</v>
      </c>
      <c r="C2526" t="str">
        <f t="shared" si="448"/>
        <v>2020/21</v>
      </c>
      <c r="E2526" t="str">
        <f t="shared" si="449"/>
        <v/>
      </c>
      <c r="F2526" t="s">
        <v>25</v>
      </c>
      <c r="G2526" t="s">
        <v>22</v>
      </c>
      <c r="H2526">
        <v>17806.48</v>
      </c>
      <c r="I2526" t="str">
        <f>"Anchor Trust"</f>
        <v>Anchor Trust</v>
      </c>
      <c r="J2526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527" spans="1:10" x14ac:dyDescent="0.35">
      <c r="A2527" t="str">
        <f t="shared" si="441"/>
        <v>FEB</v>
      </c>
      <c r="B2527" t="str">
        <f t="shared" si="445"/>
        <v>21</v>
      </c>
      <c r="C2527" t="str">
        <f t="shared" si="448"/>
        <v>2020/21</v>
      </c>
      <c r="E2527" t="str">
        <f t="shared" si="449"/>
        <v/>
      </c>
      <c r="F2527" t="s">
        <v>25</v>
      </c>
      <c r="G2527" t="s">
        <v>22</v>
      </c>
      <c r="H2527">
        <v>10397.08</v>
      </c>
      <c r="I2527" t="str">
        <f>"Anchor Trust"</f>
        <v>Anchor Trust</v>
      </c>
      <c r="J2527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528" spans="1:10" x14ac:dyDescent="0.35">
      <c r="A2528" t="str">
        <f t="shared" si="441"/>
        <v>FEB</v>
      </c>
      <c r="B2528" t="str">
        <f t="shared" si="445"/>
        <v>21</v>
      </c>
      <c r="C2528" t="str">
        <f t="shared" si="448"/>
        <v>2020/21</v>
      </c>
      <c r="E2528" t="str">
        <f t="shared" si="449"/>
        <v/>
      </c>
      <c r="F2528" t="s">
        <v>25</v>
      </c>
      <c r="G2528" t="s">
        <v>22</v>
      </c>
      <c r="H2528">
        <v>-4964.88</v>
      </c>
      <c r="I2528" t="str">
        <f>"Anchor Trust"</f>
        <v>Anchor Trust</v>
      </c>
      <c r="J2528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529" spans="1:10" x14ac:dyDescent="0.35">
      <c r="A2529" t="str">
        <f t="shared" ref="A2529:A2569" si="453">"FEB"</f>
        <v>FEB</v>
      </c>
      <c r="B2529" t="str">
        <f t="shared" si="445"/>
        <v>21</v>
      </c>
      <c r="C2529" t="str">
        <f t="shared" si="448"/>
        <v>2020/21</v>
      </c>
      <c r="E2529" t="str">
        <f t="shared" si="449"/>
        <v/>
      </c>
      <c r="F2529" t="s">
        <v>25</v>
      </c>
      <c r="G2529" t="s">
        <v>22</v>
      </c>
      <c r="H2529">
        <v>-3622.28</v>
      </c>
      <c r="I2529" t="str">
        <f>"Anchor Trust"</f>
        <v>Anchor Trust</v>
      </c>
      <c r="J2529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530" spans="1:10" x14ac:dyDescent="0.35">
      <c r="A2530" t="str">
        <f t="shared" si="453"/>
        <v>FEB</v>
      </c>
      <c r="B2530" t="str">
        <f t="shared" si="445"/>
        <v>21</v>
      </c>
      <c r="C2530" t="str">
        <f t="shared" si="448"/>
        <v>2020/21</v>
      </c>
      <c r="E2530" t="str">
        <f t="shared" si="449"/>
        <v/>
      </c>
      <c r="F2530" t="s">
        <v>25</v>
      </c>
      <c r="G2530" t="s">
        <v>22</v>
      </c>
      <c r="H2530">
        <v>21957.48</v>
      </c>
      <c r="I2530" t="str">
        <f>"The Mayfield Trust"</f>
        <v>The Mayfield Trust</v>
      </c>
      <c r="J2530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2531" spans="1:10" x14ac:dyDescent="0.35">
      <c r="A2531" t="str">
        <f t="shared" si="453"/>
        <v>FEB</v>
      </c>
      <c r="B2531" t="str">
        <f t="shared" si="445"/>
        <v>21</v>
      </c>
      <c r="C2531" t="str">
        <f t="shared" si="448"/>
        <v>2020/21</v>
      </c>
      <c r="E2531" t="str">
        <f t="shared" si="449"/>
        <v/>
      </c>
      <c r="F2531" t="s">
        <v>25</v>
      </c>
      <c r="G2531" t="s">
        <v>22</v>
      </c>
      <c r="H2531">
        <v>2554.12</v>
      </c>
      <c r="I2531" t="str">
        <f>"Bridgewood Trust Ltd"</f>
        <v>Bridgewood Trust Ltd</v>
      </c>
      <c r="J2531" t="str">
        <f t="shared" ref="J2531:J2536" si="454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2532" spans="1:10" x14ac:dyDescent="0.35">
      <c r="A2532" t="str">
        <f t="shared" si="453"/>
        <v>FEB</v>
      </c>
      <c r="B2532" t="str">
        <f t="shared" si="445"/>
        <v>21</v>
      </c>
      <c r="C2532" t="str">
        <f t="shared" si="448"/>
        <v>2020/21</v>
      </c>
      <c r="E2532" t="str">
        <f t="shared" si="449"/>
        <v/>
      </c>
      <c r="F2532" t="s">
        <v>25</v>
      </c>
      <c r="G2532" t="s">
        <v>22</v>
      </c>
      <c r="H2532">
        <v>13424.16</v>
      </c>
      <c r="I2532" t="str">
        <f>"Bridgewood Trust Ltd"</f>
        <v>Bridgewood Trust Ltd</v>
      </c>
      <c r="J2532" t="str">
        <f t="shared" si="454"/>
        <v>Residential Placements (Learning Disabilities)-Voluntary Home Voluntary Associations Agency And Contracted Services Residential &amp; Nursing Placem</v>
      </c>
    </row>
    <row r="2533" spans="1:10" x14ac:dyDescent="0.35">
      <c r="A2533" t="str">
        <f t="shared" si="453"/>
        <v>FEB</v>
      </c>
      <c r="B2533" t="str">
        <f t="shared" si="445"/>
        <v>21</v>
      </c>
      <c r="C2533" t="str">
        <f t="shared" si="448"/>
        <v>2020/21</v>
      </c>
      <c r="E2533" t="str">
        <f t="shared" si="449"/>
        <v/>
      </c>
      <c r="F2533" t="s">
        <v>25</v>
      </c>
      <c r="G2533" t="s">
        <v>22</v>
      </c>
      <c r="H2533">
        <v>1849.96</v>
      </c>
      <c r="I2533" t="str">
        <f>"Bridgewood Trust Ltd"</f>
        <v>Bridgewood Trust Ltd</v>
      </c>
      <c r="J2533" t="str">
        <f t="shared" si="454"/>
        <v>Residential Placements (Learning Disabilities)-Voluntary Home Voluntary Associations Agency And Contracted Services Residential &amp; Nursing Placem</v>
      </c>
    </row>
    <row r="2534" spans="1:10" x14ac:dyDescent="0.35">
      <c r="A2534" t="str">
        <f t="shared" si="453"/>
        <v>FEB</v>
      </c>
      <c r="B2534" t="str">
        <f t="shared" si="445"/>
        <v>21</v>
      </c>
      <c r="C2534" t="str">
        <f t="shared" si="448"/>
        <v>2020/21</v>
      </c>
      <c r="E2534" t="str">
        <f t="shared" si="449"/>
        <v/>
      </c>
      <c r="F2534" t="s">
        <v>25</v>
      </c>
      <c r="G2534" t="s">
        <v>22</v>
      </c>
      <c r="H2534">
        <v>2138.2399999999998</v>
      </c>
      <c r="I2534" t="str">
        <f>"Bridgewood Trust Ltd"</f>
        <v>Bridgewood Trust Ltd</v>
      </c>
      <c r="J2534" t="str">
        <f t="shared" si="454"/>
        <v>Residential Placements (Learning Disabilities)-Voluntary Home Voluntary Associations Agency And Contracted Services Residential &amp; Nursing Placem</v>
      </c>
    </row>
    <row r="2535" spans="1:10" x14ac:dyDescent="0.35">
      <c r="A2535" t="str">
        <f t="shared" si="453"/>
        <v>FEB</v>
      </c>
      <c r="B2535" t="str">
        <f t="shared" si="445"/>
        <v>21</v>
      </c>
      <c r="C2535" t="str">
        <f t="shared" si="448"/>
        <v>2020/21</v>
      </c>
      <c r="E2535" t="str">
        <f t="shared" si="449"/>
        <v/>
      </c>
      <c r="F2535" t="s">
        <v>25</v>
      </c>
      <c r="G2535" t="s">
        <v>22</v>
      </c>
      <c r="H2535">
        <v>27764.48</v>
      </c>
      <c r="I2535" t="str">
        <f>"Bridgewood Trust Ltd"</f>
        <v>Bridgewood Trust Ltd</v>
      </c>
      <c r="J2535" t="str">
        <f t="shared" si="454"/>
        <v>Residential Placements (Learning Disabilities)-Voluntary Home Voluntary Associations Agency And Contracted Services Residential &amp; Nursing Placem</v>
      </c>
    </row>
    <row r="2536" spans="1:10" x14ac:dyDescent="0.35">
      <c r="A2536" t="str">
        <f t="shared" si="453"/>
        <v>FEB</v>
      </c>
      <c r="B2536" t="str">
        <f t="shared" si="445"/>
        <v>21</v>
      </c>
      <c r="C2536" t="str">
        <f t="shared" si="448"/>
        <v>2020/21</v>
      </c>
      <c r="E2536" t="str">
        <f t="shared" si="449"/>
        <v/>
      </c>
      <c r="F2536" t="s">
        <v>25</v>
      </c>
      <c r="G2536" t="s">
        <v>22</v>
      </c>
      <c r="H2536">
        <v>6882.04</v>
      </c>
      <c r="I2536" t="str">
        <f>"The Mayfield Trust"</f>
        <v>The Mayfield Trust</v>
      </c>
      <c r="J2536" t="str">
        <f t="shared" si="454"/>
        <v>Residential Placements (Learning Disabilities)-Voluntary Home Voluntary Associations Agency And Contracted Services Residential &amp; Nursing Placem</v>
      </c>
    </row>
    <row r="2537" spans="1:10" x14ac:dyDescent="0.35">
      <c r="A2537" t="str">
        <f t="shared" si="453"/>
        <v>FEB</v>
      </c>
      <c r="B2537" t="str">
        <f t="shared" si="445"/>
        <v>21</v>
      </c>
      <c r="C2537" t="str">
        <f t="shared" si="448"/>
        <v>2020/21</v>
      </c>
      <c r="D2537" t="str">
        <f>"SS AD 117134"</f>
        <v>SS AD 117134</v>
      </c>
      <c r="E2537" t="str">
        <f t="shared" si="449"/>
        <v>SS</v>
      </c>
      <c r="F2537" t="s">
        <v>25</v>
      </c>
      <c r="G2537" t="s">
        <v>22</v>
      </c>
      <c r="H2537">
        <v>1268.5</v>
      </c>
      <c r="I2537" t="str">
        <f>"Bridgewood Trust Ltd"</f>
        <v>Bridgewood Trust Ltd</v>
      </c>
      <c r="J2537" t="str">
        <f t="shared" ref="J2537:J2542" si="455">"Covid-19 Rapid Testing Fund Private Contractors Agency And Contracted Services Residential &amp; Nursing Placements (Learning Dis) Adult Health &amp; So"</f>
        <v>Covid-19 Rapid Testing Fund Private Contractors Agency And Contracted Services Residential &amp; Nursing Placements (Learning Dis) Adult Health &amp; So</v>
      </c>
    </row>
    <row r="2538" spans="1:10" x14ac:dyDescent="0.35">
      <c r="A2538" t="str">
        <f t="shared" si="453"/>
        <v>FEB</v>
      </c>
      <c r="B2538" t="str">
        <f t="shared" si="445"/>
        <v>21</v>
      </c>
      <c r="C2538" t="str">
        <f t="shared" si="448"/>
        <v>2020/21</v>
      </c>
      <c r="D2538" t="str">
        <f>"SS AD 117134"</f>
        <v>SS AD 117134</v>
      </c>
      <c r="E2538" t="str">
        <f t="shared" si="449"/>
        <v>SS</v>
      </c>
      <c r="F2538" t="s">
        <v>25</v>
      </c>
      <c r="G2538" t="s">
        <v>22</v>
      </c>
      <c r="H2538">
        <v>1522.2</v>
      </c>
      <c r="I2538" t="str">
        <f>"Bridgewood Trust Ltd"</f>
        <v>Bridgewood Trust Ltd</v>
      </c>
      <c r="J2538" t="str">
        <f t="shared" si="455"/>
        <v>Covid-19 Rapid Testing Fund Private Contractors Agency And Contracted Services Residential &amp; Nursing Placements (Learning Dis) Adult Health &amp; So</v>
      </c>
    </row>
    <row r="2539" spans="1:10" x14ac:dyDescent="0.35">
      <c r="A2539" t="str">
        <f t="shared" si="453"/>
        <v>FEB</v>
      </c>
      <c r="B2539" t="str">
        <f t="shared" si="445"/>
        <v>21</v>
      </c>
      <c r="C2539" t="str">
        <f t="shared" si="448"/>
        <v>2020/21</v>
      </c>
      <c r="D2539" t="str">
        <f>"SS AD 117134"</f>
        <v>SS AD 117134</v>
      </c>
      <c r="E2539" t="str">
        <f t="shared" si="449"/>
        <v>SS</v>
      </c>
      <c r="F2539" t="s">
        <v>25</v>
      </c>
      <c r="G2539" t="s">
        <v>22</v>
      </c>
      <c r="H2539">
        <v>3044.4</v>
      </c>
      <c r="I2539" t="str">
        <f>"Bridgewood Trust Ltd"</f>
        <v>Bridgewood Trust Ltd</v>
      </c>
      <c r="J2539" t="str">
        <f t="shared" si="455"/>
        <v>Covid-19 Rapid Testing Fund Private Contractors Agency And Contracted Services Residential &amp; Nursing Placements (Learning Dis) Adult Health &amp; So</v>
      </c>
    </row>
    <row r="2540" spans="1:10" x14ac:dyDescent="0.35">
      <c r="A2540" t="str">
        <f t="shared" si="453"/>
        <v>FEB</v>
      </c>
      <c r="B2540" t="str">
        <f t="shared" si="445"/>
        <v>21</v>
      </c>
      <c r="C2540" t="str">
        <f t="shared" si="448"/>
        <v>2020/21</v>
      </c>
      <c r="D2540" t="str">
        <f>"SS AD 117135"</f>
        <v>SS AD 117135</v>
      </c>
      <c r="E2540" t="str">
        <f t="shared" si="449"/>
        <v>SS</v>
      </c>
      <c r="F2540" t="s">
        <v>25</v>
      </c>
      <c r="G2540" t="s">
        <v>22</v>
      </c>
      <c r="H2540">
        <v>2537</v>
      </c>
      <c r="I2540" t="str">
        <f>"The Mayfield Trust"</f>
        <v>The Mayfield Trust</v>
      </c>
      <c r="J2540" t="str">
        <f t="shared" si="455"/>
        <v>Covid-19 Rapid Testing Fund Private Contractors Agency And Contracted Services Residential &amp; Nursing Placements (Learning Dis) Adult Health &amp; So</v>
      </c>
    </row>
    <row r="2541" spans="1:10" x14ac:dyDescent="0.35">
      <c r="A2541" t="str">
        <f t="shared" si="453"/>
        <v>FEB</v>
      </c>
      <c r="B2541" t="str">
        <f t="shared" si="445"/>
        <v>21</v>
      </c>
      <c r="C2541" t="str">
        <f t="shared" si="448"/>
        <v>2020/21</v>
      </c>
      <c r="D2541" t="str">
        <f>"SS AD 117136"</f>
        <v>SS AD 117136</v>
      </c>
      <c r="E2541" t="str">
        <f t="shared" si="449"/>
        <v>SS</v>
      </c>
      <c r="F2541" t="s">
        <v>25</v>
      </c>
      <c r="G2541" t="s">
        <v>22</v>
      </c>
      <c r="H2541">
        <v>761.1</v>
      </c>
      <c r="I2541" t="str">
        <f>"The Next Step Trust"</f>
        <v>The Next Step Trust</v>
      </c>
      <c r="J2541" t="str">
        <f t="shared" si="455"/>
        <v>Covid-19 Rapid Testing Fund Private Contractors Agency And Contracted Services Residential &amp; Nursing Placements (Learning Dis) Adult Health &amp; So</v>
      </c>
    </row>
    <row r="2542" spans="1:10" x14ac:dyDescent="0.35">
      <c r="A2542" t="str">
        <f t="shared" si="453"/>
        <v>FEB</v>
      </c>
      <c r="B2542" t="str">
        <f t="shared" si="445"/>
        <v>21</v>
      </c>
      <c r="C2542" t="str">
        <f t="shared" si="448"/>
        <v>2020/21</v>
      </c>
      <c r="D2542" t="str">
        <f>"SS AD 117332"</f>
        <v>SS AD 117332</v>
      </c>
      <c r="E2542" t="str">
        <f t="shared" si="449"/>
        <v>SS</v>
      </c>
      <c r="F2542" t="s">
        <v>25</v>
      </c>
      <c r="G2542" t="s">
        <v>22</v>
      </c>
      <c r="H2542">
        <v>5237.7</v>
      </c>
      <c r="I2542" t="str">
        <f>"The Next Step Trust"</f>
        <v>The Next Step Trust</v>
      </c>
      <c r="J2542" t="str">
        <f t="shared" si="455"/>
        <v>Covid-19 Rapid Testing Fund Private Contractors Agency And Contracted Services Residential &amp; Nursing Placements (Learning Dis) Adult Health &amp; So</v>
      </c>
    </row>
    <row r="2543" spans="1:10" x14ac:dyDescent="0.35">
      <c r="A2543" t="str">
        <f t="shared" si="453"/>
        <v>FEB</v>
      </c>
      <c r="B2543" t="str">
        <f t="shared" si="445"/>
        <v>21</v>
      </c>
      <c r="C2543" t="str">
        <f t="shared" si="448"/>
        <v>2020/21</v>
      </c>
      <c r="E2543" t="str">
        <f t="shared" si="449"/>
        <v/>
      </c>
      <c r="F2543" t="s">
        <v>25</v>
      </c>
      <c r="G2543" t="s">
        <v>22</v>
      </c>
      <c r="H2543">
        <v>7243.28</v>
      </c>
      <c r="I2543" t="str">
        <f>"Henshaws Society For Blind People re Red Admiral"</f>
        <v>Henshaws Society For Blind People re Red Admiral</v>
      </c>
      <c r="J2543" t="str">
        <f>"Residential Placements (Learning Disability)-Private Home Private Contractors Agency And Contracted Services Residential &amp; Nursing Placements (L"</f>
        <v>Residential Placements (Learning Disability)-Private Home Private Contractors Agency And Contracted Services Residential &amp; Nursing Placements (L</v>
      </c>
    </row>
    <row r="2544" spans="1:10" x14ac:dyDescent="0.35">
      <c r="A2544" t="str">
        <f t="shared" si="453"/>
        <v>FEB</v>
      </c>
      <c r="B2544" t="str">
        <f t="shared" si="445"/>
        <v>21</v>
      </c>
      <c r="C2544" t="str">
        <f t="shared" si="448"/>
        <v>2020/21</v>
      </c>
      <c r="E2544" t="str">
        <f t="shared" si="449"/>
        <v/>
      </c>
      <c r="F2544" t="s">
        <v>25</v>
      </c>
      <c r="G2544" t="s">
        <v>22</v>
      </c>
      <c r="H2544">
        <v>-1269</v>
      </c>
      <c r="I2544" t="str">
        <f>"The Mayfield Trust"</f>
        <v>The Mayfield Trust</v>
      </c>
      <c r="J2544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2545" spans="1:10" x14ac:dyDescent="0.35">
      <c r="A2545" t="str">
        <f t="shared" si="453"/>
        <v>FEB</v>
      </c>
      <c r="B2545" t="str">
        <f t="shared" si="445"/>
        <v>21</v>
      </c>
      <c r="C2545" t="str">
        <f t="shared" si="448"/>
        <v>2020/21</v>
      </c>
      <c r="E2545" t="str">
        <f t="shared" si="449"/>
        <v/>
      </c>
      <c r="F2545" t="s">
        <v>25</v>
      </c>
      <c r="G2545" t="s">
        <v>22</v>
      </c>
      <c r="H2545">
        <v>-423</v>
      </c>
      <c r="I2545" t="str">
        <f>"Bridgewood Trust Ltd"</f>
        <v>Bridgewood Trust Ltd</v>
      </c>
      <c r="J2545" t="str">
        <f t="shared" ref="J2545:J2551" si="456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2546" spans="1:10" x14ac:dyDescent="0.35">
      <c r="A2546" t="str">
        <f t="shared" si="453"/>
        <v>FEB</v>
      </c>
      <c r="B2546" t="str">
        <f t="shared" si="445"/>
        <v>21</v>
      </c>
      <c r="C2546" t="str">
        <f t="shared" si="448"/>
        <v>2020/21</v>
      </c>
      <c r="E2546" t="str">
        <f t="shared" si="449"/>
        <v/>
      </c>
      <c r="F2546" t="s">
        <v>25</v>
      </c>
      <c r="G2546" t="s">
        <v>22</v>
      </c>
      <c r="H2546">
        <v>-1692</v>
      </c>
      <c r="I2546" t="str">
        <f>"Bridgewood Trust Ltd"</f>
        <v>Bridgewood Trust Ltd</v>
      </c>
      <c r="J2546" t="str">
        <f t="shared" si="456"/>
        <v>Residential - Income Residential Placements Customer And Client Receipts Income Residential &amp; Nursing Placements (Learning Dis) Adult Health &amp; S</v>
      </c>
    </row>
    <row r="2547" spans="1:10" x14ac:dyDescent="0.35">
      <c r="A2547" t="str">
        <f t="shared" si="453"/>
        <v>FEB</v>
      </c>
      <c r="B2547" t="str">
        <f t="shared" ref="B2547:B2610" si="457">"21"</f>
        <v>21</v>
      </c>
      <c r="C2547" t="str">
        <f t="shared" si="448"/>
        <v>2020/21</v>
      </c>
      <c r="E2547" t="str">
        <f t="shared" si="449"/>
        <v/>
      </c>
      <c r="F2547" t="s">
        <v>25</v>
      </c>
      <c r="G2547" t="s">
        <v>22</v>
      </c>
      <c r="H2547">
        <v>-595.4</v>
      </c>
      <c r="I2547" t="str">
        <f>"Bridgewood Trust Ltd"</f>
        <v>Bridgewood Trust Ltd</v>
      </c>
      <c r="J2547" t="str">
        <f t="shared" si="456"/>
        <v>Residential - Income Residential Placements Customer And Client Receipts Income Residential &amp; Nursing Placements (Learning Dis) Adult Health &amp; S</v>
      </c>
    </row>
    <row r="2548" spans="1:10" x14ac:dyDescent="0.35">
      <c r="A2548" t="str">
        <f t="shared" si="453"/>
        <v>FEB</v>
      </c>
      <c r="B2548" t="str">
        <f t="shared" si="457"/>
        <v>21</v>
      </c>
      <c r="C2548" t="str">
        <f t="shared" si="448"/>
        <v>2020/21</v>
      </c>
      <c r="E2548" t="str">
        <f t="shared" si="449"/>
        <v/>
      </c>
      <c r="F2548" t="s">
        <v>25</v>
      </c>
      <c r="G2548" t="s">
        <v>22</v>
      </c>
      <c r="H2548">
        <v>-423</v>
      </c>
      <c r="I2548" t="str">
        <f>"Bridgewood Trust Ltd"</f>
        <v>Bridgewood Trust Ltd</v>
      </c>
      <c r="J2548" t="str">
        <f t="shared" si="456"/>
        <v>Residential - Income Residential Placements Customer And Client Receipts Income Residential &amp; Nursing Placements (Learning Dis) Adult Health &amp; S</v>
      </c>
    </row>
    <row r="2549" spans="1:10" x14ac:dyDescent="0.35">
      <c r="A2549" t="str">
        <f t="shared" si="453"/>
        <v>FEB</v>
      </c>
      <c r="B2549" t="str">
        <f t="shared" si="457"/>
        <v>21</v>
      </c>
      <c r="C2549" t="str">
        <f t="shared" si="448"/>
        <v>2020/21</v>
      </c>
      <c r="E2549" t="str">
        <f t="shared" si="449"/>
        <v/>
      </c>
      <c r="F2549" t="s">
        <v>25</v>
      </c>
      <c r="G2549" t="s">
        <v>22</v>
      </c>
      <c r="H2549">
        <v>-4483.72</v>
      </c>
      <c r="I2549" t="str">
        <f>"Bridgewood Trust Ltd"</f>
        <v>Bridgewood Trust Ltd</v>
      </c>
      <c r="J2549" t="str">
        <f t="shared" si="456"/>
        <v>Residential - Income Residential Placements Customer And Client Receipts Income Residential &amp; Nursing Placements (Learning Dis) Adult Health &amp; S</v>
      </c>
    </row>
    <row r="2550" spans="1:10" x14ac:dyDescent="0.35">
      <c r="A2550" t="str">
        <f t="shared" si="453"/>
        <v>FEB</v>
      </c>
      <c r="B2550" t="str">
        <f t="shared" si="457"/>
        <v>21</v>
      </c>
      <c r="C2550" t="str">
        <f t="shared" si="448"/>
        <v>2020/21</v>
      </c>
      <c r="E2550" t="str">
        <f t="shared" si="449"/>
        <v/>
      </c>
      <c r="F2550" t="s">
        <v>25</v>
      </c>
      <c r="G2550" t="s">
        <v>22</v>
      </c>
      <c r="H2550">
        <v>-459</v>
      </c>
      <c r="I2550" t="str">
        <f>"The Mayfield Trust"</f>
        <v>The Mayfield Trust</v>
      </c>
      <c r="J2550" t="str">
        <f t="shared" si="456"/>
        <v>Residential - Income Residential Placements Customer And Client Receipts Income Residential &amp; Nursing Placements (Learning Dis) Adult Health &amp; S</v>
      </c>
    </row>
    <row r="2551" spans="1:10" x14ac:dyDescent="0.35">
      <c r="A2551" t="str">
        <f t="shared" si="453"/>
        <v>FEB</v>
      </c>
      <c r="B2551" t="str">
        <f t="shared" si="457"/>
        <v>21</v>
      </c>
      <c r="C2551" t="str">
        <f t="shared" si="448"/>
        <v>2020/21</v>
      </c>
      <c r="E2551" t="str">
        <f t="shared" si="449"/>
        <v/>
      </c>
      <c r="F2551" t="s">
        <v>25</v>
      </c>
      <c r="G2551" t="s">
        <v>22</v>
      </c>
      <c r="H2551">
        <v>-423</v>
      </c>
      <c r="I2551" t="str">
        <f>"Henshaws Society For Blind People re Red Admiral"</f>
        <v>Henshaws Society For Blind People re Red Admiral</v>
      </c>
      <c r="J2551" t="str">
        <f t="shared" si="456"/>
        <v>Residential - Income Residential Placements Customer And Client Receipts Income Residential &amp; Nursing Placements (Learning Dis) Adult Health &amp; S</v>
      </c>
    </row>
    <row r="2552" spans="1:10" x14ac:dyDescent="0.35">
      <c r="A2552" t="str">
        <f t="shared" si="453"/>
        <v>FEB</v>
      </c>
      <c r="B2552" t="str">
        <f t="shared" si="457"/>
        <v>21</v>
      </c>
      <c r="C2552" t="str">
        <f t="shared" si="448"/>
        <v>2020/21</v>
      </c>
      <c r="D2552" t="str">
        <f>"SS AD 117331"</f>
        <v>SS AD 117331</v>
      </c>
      <c r="E2552" t="str">
        <f t="shared" si="449"/>
        <v>SS</v>
      </c>
      <c r="F2552" t="s">
        <v>25</v>
      </c>
      <c r="G2552" t="s">
        <v>22</v>
      </c>
      <c r="H2552">
        <v>4297.6000000000004</v>
      </c>
      <c r="I2552" t="str">
        <f>"The Mayfield Trust"</f>
        <v>The Mayfield Trust</v>
      </c>
      <c r="J2552" t="str">
        <f>"Covid 19 Rapid Testing Fund Private Contractors Agency And Contracted Services Commissioned Home Care (OP/PD) Adult Health &amp; Social Care"</f>
        <v>Covid 19 Rapid Testing Fund Private Contractors Agency And Contracted Services Commissioned Home Care (OP/PD) Adult Health &amp; Social Care</v>
      </c>
    </row>
    <row r="2553" spans="1:10" x14ac:dyDescent="0.35">
      <c r="A2553" t="str">
        <f t="shared" si="453"/>
        <v>FEB</v>
      </c>
      <c r="B2553" t="str">
        <f t="shared" si="457"/>
        <v>21</v>
      </c>
      <c r="C2553" t="str">
        <f t="shared" si="448"/>
        <v>2020/21</v>
      </c>
      <c r="D2553" t="str">
        <f>"SS AD 117316"</f>
        <v>SS AD 117316</v>
      </c>
      <c r="E2553" t="str">
        <f t="shared" si="449"/>
        <v>SS</v>
      </c>
      <c r="F2553" t="s">
        <v>25</v>
      </c>
      <c r="G2553" t="s">
        <v>22</v>
      </c>
      <c r="H2553">
        <v>402.9</v>
      </c>
      <c r="I2553" t="str">
        <f>"Future Directions CIC"</f>
        <v>Future Directions CIC</v>
      </c>
      <c r="J2553" t="str">
        <f>"Covid 19 Rapid Testing Fund Private Contractors Agency And Contracted Services Commissioned Home Care (OP/PD) Adult Health &amp; Social Care"</f>
        <v>Covid 19 Rapid Testing Fund Private Contractors Agency And Contracted Services Commissioned Home Care (OP/PD) Adult Health &amp; Social Care</v>
      </c>
    </row>
    <row r="2554" spans="1:10" x14ac:dyDescent="0.35">
      <c r="A2554" t="str">
        <f t="shared" si="453"/>
        <v>FEB</v>
      </c>
      <c r="B2554" t="str">
        <f t="shared" si="457"/>
        <v>21</v>
      </c>
      <c r="C2554" t="str">
        <f t="shared" si="448"/>
        <v>2020/21</v>
      </c>
      <c r="D2554" t="str">
        <f>"SS AD 117317"</f>
        <v>SS AD 117317</v>
      </c>
      <c r="E2554" t="str">
        <f t="shared" si="449"/>
        <v>SS</v>
      </c>
      <c r="F2554" t="s">
        <v>25</v>
      </c>
      <c r="G2554" t="s">
        <v>22</v>
      </c>
      <c r="H2554">
        <v>134.30000000000001</v>
      </c>
      <c r="I2554" t="str">
        <f>"Helping Hands (HX)"</f>
        <v>Helping Hands (HX)</v>
      </c>
      <c r="J2554" t="str">
        <f>"Covid 19 Rapid Testing Fund Private Contractors Agency And Contracted Services Commissioned Home Care (OP/PD) Adult Health &amp; Social Care"</f>
        <v>Covid 19 Rapid Testing Fund Private Contractors Agency And Contracted Services Commissioned Home Care (OP/PD) Adult Health &amp; Social Care</v>
      </c>
    </row>
    <row r="2555" spans="1:10" x14ac:dyDescent="0.35">
      <c r="A2555" t="str">
        <f t="shared" si="453"/>
        <v>FEB</v>
      </c>
      <c r="B2555" t="str">
        <f t="shared" si="457"/>
        <v>21</v>
      </c>
      <c r="C2555" t="str">
        <f t="shared" si="448"/>
        <v>2020/21</v>
      </c>
      <c r="D2555" t="str">
        <f>"SS HC 117322"</f>
        <v>SS HC 117322</v>
      </c>
      <c r="E2555" t="str">
        <f t="shared" si="449"/>
        <v>SS</v>
      </c>
      <c r="F2555" t="s">
        <v>25</v>
      </c>
      <c r="G2555" t="s">
        <v>22</v>
      </c>
      <c r="H2555">
        <v>940.1</v>
      </c>
      <c r="I2555" t="str">
        <f>"Mencap Northern Division"</f>
        <v>Mencap Northern Division</v>
      </c>
      <c r="J2555" t="str">
        <f>"Covid 19 Rapid Testing Fund Private Contractors Agency And Contracted Services Commissioned Home Care (OP/PD) Adult Health &amp; Social Care"</f>
        <v>Covid 19 Rapid Testing Fund Private Contractors Agency And Contracted Services Commissioned Home Care (OP/PD) Adult Health &amp; Social Care</v>
      </c>
    </row>
    <row r="2556" spans="1:10" x14ac:dyDescent="0.35">
      <c r="A2556" t="str">
        <f t="shared" si="453"/>
        <v>FEB</v>
      </c>
      <c r="B2556" t="str">
        <f t="shared" si="457"/>
        <v>21</v>
      </c>
      <c r="C2556" t="str">
        <f t="shared" si="448"/>
        <v>2020/21</v>
      </c>
      <c r="D2556" t="str">
        <f>"SS SL 114855"</f>
        <v>SS SL 114855</v>
      </c>
      <c r="E2556" t="str">
        <f t="shared" si="449"/>
        <v>SS</v>
      </c>
      <c r="F2556" t="s">
        <v>25</v>
      </c>
      <c r="G2556" t="s">
        <v>22</v>
      </c>
      <c r="H2556">
        <v>3439.4</v>
      </c>
      <c r="I2556" t="str">
        <f>"The Mayfield Trust"</f>
        <v>The Mayfield Trust</v>
      </c>
      <c r="J2556" t="str">
        <f>"Supported Accomodation Personal Support Privated Private Contractors Agency And Contracted Services Mental Health: Home Support Adult Health &amp; S"</f>
        <v>Supported Accomodation Personal Support Privated Private Contractors Agency And Contracted Services Mental Health: Home Support Adult Health &amp; S</v>
      </c>
    </row>
    <row r="2557" spans="1:10" x14ac:dyDescent="0.35">
      <c r="A2557" t="str">
        <f t="shared" si="453"/>
        <v>FEB</v>
      </c>
      <c r="B2557" t="str">
        <f t="shared" si="457"/>
        <v>21</v>
      </c>
      <c r="C2557" t="str">
        <f t="shared" si="448"/>
        <v>2020/21</v>
      </c>
      <c r="D2557" t="str">
        <f>"SS CO 113260"</f>
        <v>SS CO 113260</v>
      </c>
      <c r="E2557" t="str">
        <f t="shared" si="449"/>
        <v>SS</v>
      </c>
      <c r="F2557" t="s">
        <v>25</v>
      </c>
      <c r="G2557" t="s">
        <v>22</v>
      </c>
      <c r="H2557">
        <v>15922.58</v>
      </c>
      <c r="I2557" t="str">
        <f>"Alzheimers Society"</f>
        <v>Alzheimers Society</v>
      </c>
      <c r="J2557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2558" spans="1:10" x14ac:dyDescent="0.35">
      <c r="A2558" t="str">
        <f t="shared" si="453"/>
        <v>FEB</v>
      </c>
      <c r="B2558" t="str">
        <f t="shared" si="457"/>
        <v>21</v>
      </c>
      <c r="C2558" t="str">
        <f t="shared" si="448"/>
        <v>2020/21</v>
      </c>
      <c r="D2558" t="str">
        <f>"SS CO 113850"</f>
        <v>SS CO 113850</v>
      </c>
      <c r="E2558" t="str">
        <f t="shared" si="449"/>
        <v>SS</v>
      </c>
      <c r="F2558" t="s">
        <v>25</v>
      </c>
      <c r="G2558" t="s">
        <v>22</v>
      </c>
      <c r="H2558">
        <v>18016.669999999998</v>
      </c>
      <c r="I2558" t="str">
        <f>"Cloverleaf Advocacy 2000 Ltd"</f>
        <v>Cloverleaf Advocacy 2000 Ltd</v>
      </c>
      <c r="J2558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2559" spans="1:10" x14ac:dyDescent="0.35">
      <c r="A2559" t="str">
        <f t="shared" si="453"/>
        <v>FEB</v>
      </c>
      <c r="B2559" t="str">
        <f t="shared" si="457"/>
        <v>21</v>
      </c>
      <c r="C2559" t="str">
        <f t="shared" si="448"/>
        <v>2020/21</v>
      </c>
      <c r="D2559" t="str">
        <f>"SS CO 113368"</f>
        <v>SS CO 113368</v>
      </c>
      <c r="E2559" t="str">
        <f t="shared" si="449"/>
        <v>SS</v>
      </c>
      <c r="F2559" t="s">
        <v>25</v>
      </c>
      <c r="G2559" t="s">
        <v>22</v>
      </c>
      <c r="H2559">
        <v>234.69</v>
      </c>
      <c r="I2559" t="str">
        <f>"Anchor Trust"</f>
        <v>Anchor Trust</v>
      </c>
      <c r="J2559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2560" spans="1:10" x14ac:dyDescent="0.35">
      <c r="A2560" t="str">
        <f t="shared" si="453"/>
        <v>FEB</v>
      </c>
      <c r="B2560" t="str">
        <f t="shared" si="457"/>
        <v>21</v>
      </c>
      <c r="C2560" t="str">
        <f t="shared" si="448"/>
        <v>2020/21</v>
      </c>
      <c r="D2560" t="str">
        <f>"SS CO 113368"</f>
        <v>SS CO 113368</v>
      </c>
      <c r="E2560" t="str">
        <f t="shared" si="449"/>
        <v>SS</v>
      </c>
      <c r="F2560" t="s">
        <v>25</v>
      </c>
      <c r="G2560" t="s">
        <v>22</v>
      </c>
      <c r="H2560">
        <v>6570.96</v>
      </c>
      <c r="I2560" t="str">
        <f>"Anchor Trust"</f>
        <v>Anchor Trust</v>
      </c>
      <c r="J2560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2561" spans="1:10" x14ac:dyDescent="0.35">
      <c r="A2561" t="str">
        <f t="shared" si="453"/>
        <v>FEB</v>
      </c>
      <c r="B2561" t="str">
        <f t="shared" si="457"/>
        <v>21</v>
      </c>
      <c r="C2561" t="str">
        <f t="shared" si="448"/>
        <v>2020/21</v>
      </c>
      <c r="D2561" t="str">
        <f>"SS CO 113368"</f>
        <v>SS CO 113368</v>
      </c>
      <c r="E2561" t="str">
        <f t="shared" si="449"/>
        <v>SS</v>
      </c>
      <c r="F2561" t="s">
        <v>25</v>
      </c>
      <c r="G2561" t="s">
        <v>22</v>
      </c>
      <c r="H2561">
        <v>299.98</v>
      </c>
      <c r="I2561" t="str">
        <f>"Anchor Trust"</f>
        <v>Anchor Trust</v>
      </c>
      <c r="J2561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2562" spans="1:10" x14ac:dyDescent="0.35">
      <c r="A2562" t="str">
        <f t="shared" si="453"/>
        <v>FEB</v>
      </c>
      <c r="B2562" t="str">
        <f t="shared" si="457"/>
        <v>21</v>
      </c>
      <c r="C2562" t="str">
        <f t="shared" ref="C2562:C2625" si="458">"2020/21"</f>
        <v>2020/21</v>
      </c>
      <c r="D2562" t="str">
        <f>"SS CO 113368"</f>
        <v>SS CO 113368</v>
      </c>
      <c r="E2562" t="str">
        <f t="shared" ref="E2562:E2625" si="459">LEFT(D2562,2)</f>
        <v>SS</v>
      </c>
      <c r="F2562" t="s">
        <v>25</v>
      </c>
      <c r="G2562" t="s">
        <v>22</v>
      </c>
      <c r="H2562">
        <v>1095.1600000000001</v>
      </c>
      <c r="I2562" t="str">
        <f>"Anchor Trust"</f>
        <v>Anchor Trust</v>
      </c>
      <c r="J2562" t="str">
        <f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2563" spans="1:10" x14ac:dyDescent="0.35">
      <c r="A2563" t="str">
        <f t="shared" si="453"/>
        <v>FEB</v>
      </c>
      <c r="B2563" t="str">
        <f t="shared" si="457"/>
        <v>21</v>
      </c>
      <c r="C2563" t="str">
        <f t="shared" si="458"/>
        <v>2020/21</v>
      </c>
      <c r="D2563" t="str">
        <f>"SS FD 114113"</f>
        <v>SS FD 114113</v>
      </c>
      <c r="E2563" t="str">
        <f t="shared" si="459"/>
        <v>SS</v>
      </c>
      <c r="F2563" t="s">
        <v>25</v>
      </c>
      <c r="G2563" t="s">
        <v>22</v>
      </c>
      <c r="H2563">
        <v>213.2</v>
      </c>
      <c r="I2563" t="str">
        <f>"Age Uk Calderdale &amp; Kirklees"</f>
        <v>Age Uk Calderdale &amp; Kirklees</v>
      </c>
      <c r="J2563" t="s">
        <v>8</v>
      </c>
    </row>
    <row r="2564" spans="1:10" x14ac:dyDescent="0.35">
      <c r="A2564" t="str">
        <f t="shared" si="453"/>
        <v>FEB</v>
      </c>
      <c r="B2564" t="str">
        <f t="shared" si="457"/>
        <v>21</v>
      </c>
      <c r="C2564" t="str">
        <f t="shared" si="458"/>
        <v>2020/21</v>
      </c>
      <c r="D2564" t="str">
        <f>"SS CO 113367"</f>
        <v>SS CO 113367</v>
      </c>
      <c r="E2564" t="str">
        <f t="shared" si="459"/>
        <v>SS</v>
      </c>
      <c r="F2564" t="s">
        <v>25</v>
      </c>
      <c r="G2564" t="s">
        <v>22</v>
      </c>
      <c r="H2564">
        <v>5708.2</v>
      </c>
      <c r="I2564" t="str">
        <f>"Cloverleaf Advocacy 2000 Ltd"</f>
        <v>Cloverleaf Advocacy 2000 Ltd</v>
      </c>
      <c r="J2564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2565" spans="1:10" x14ac:dyDescent="0.35">
      <c r="A2565" t="str">
        <f t="shared" si="453"/>
        <v>FEB</v>
      </c>
      <c r="B2565" t="str">
        <f t="shared" si="457"/>
        <v>21</v>
      </c>
      <c r="C2565" t="str">
        <f t="shared" si="458"/>
        <v>2020/21</v>
      </c>
      <c r="D2565" t="str">
        <f>"SS CO 115906"</f>
        <v>SS CO 115906</v>
      </c>
      <c r="E2565" t="str">
        <f t="shared" si="459"/>
        <v>SS</v>
      </c>
      <c r="F2565" t="s">
        <v>25</v>
      </c>
      <c r="G2565" t="s">
        <v>22</v>
      </c>
      <c r="H2565">
        <v>-0.95</v>
      </c>
      <c r="I2565" t="str">
        <f>"Cloverleaf Advocacy 2000 Ltd"</f>
        <v>Cloverleaf Advocacy 2000 Ltd</v>
      </c>
      <c r="J2565" t="str">
        <f>"Advocacy for Adults Voluntary Associations Agency And Contracted Services Mental Health Commissioning Budget Adult Health &amp; Social Care"</f>
        <v>Advocacy for Adults Voluntary Associations Agency And Contracted Services Mental Health Commissioning Budget Adult Health &amp; Social Care</v>
      </c>
    </row>
    <row r="2566" spans="1:10" x14ac:dyDescent="0.35">
      <c r="A2566" t="str">
        <f t="shared" si="453"/>
        <v>FEB</v>
      </c>
      <c r="B2566" t="str">
        <f t="shared" si="457"/>
        <v>21</v>
      </c>
      <c r="C2566" t="str">
        <f t="shared" si="458"/>
        <v>2020/21</v>
      </c>
      <c r="D2566" t="str">
        <f>"SS CO 115906"</f>
        <v>SS CO 115906</v>
      </c>
      <c r="E2566" t="str">
        <f t="shared" si="459"/>
        <v>SS</v>
      </c>
      <c r="F2566" t="s">
        <v>25</v>
      </c>
      <c r="G2566" t="s">
        <v>22</v>
      </c>
      <c r="H2566">
        <v>170</v>
      </c>
      <c r="I2566" t="str">
        <f>"Cloverleaf Advocacy 2000 Ltd"</f>
        <v>Cloverleaf Advocacy 2000 Ltd</v>
      </c>
      <c r="J2566" t="str">
        <f>"Advocacy for Adults Voluntary Associations Agency And Contracted Services Mental Health Commissioning Budget Adult Health &amp; Social Care"</f>
        <v>Advocacy for Adults Voluntary Associations Agency And Contracted Services Mental Health Commissioning Budget Adult Health &amp; Social Care</v>
      </c>
    </row>
    <row r="2567" spans="1:10" x14ac:dyDescent="0.35">
      <c r="A2567" t="str">
        <f t="shared" si="453"/>
        <v>FEB</v>
      </c>
      <c r="B2567" t="str">
        <f t="shared" si="457"/>
        <v>21</v>
      </c>
      <c r="C2567" t="str">
        <f t="shared" si="458"/>
        <v>2020/21</v>
      </c>
      <c r="D2567" t="str">
        <f>"SS CO 112761"</f>
        <v>SS CO 112761</v>
      </c>
      <c r="E2567" t="str">
        <f t="shared" si="459"/>
        <v>SS</v>
      </c>
      <c r="F2567" t="s">
        <v>25</v>
      </c>
      <c r="G2567" t="s">
        <v>22</v>
      </c>
      <c r="H2567">
        <v>7402.25</v>
      </c>
      <c r="I2567" t="str">
        <f>"The Stroke Association"</f>
        <v>The Stroke Association</v>
      </c>
      <c r="J2567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2568" spans="1:10" x14ac:dyDescent="0.35">
      <c r="A2568" t="str">
        <f t="shared" si="453"/>
        <v>FEB</v>
      </c>
      <c r="B2568" t="str">
        <f t="shared" si="457"/>
        <v>21</v>
      </c>
      <c r="C2568" t="str">
        <f t="shared" si="458"/>
        <v>2020/21</v>
      </c>
      <c r="D2568" t="str">
        <f>"LS HO 206736"</f>
        <v>LS HO 206736</v>
      </c>
      <c r="E2568" t="str">
        <f t="shared" si="459"/>
        <v>LS</v>
      </c>
      <c r="F2568" t="s">
        <v>35</v>
      </c>
      <c r="G2568" t="s">
        <v>14</v>
      </c>
      <c r="H2568">
        <v>297</v>
      </c>
      <c r="I2568" t="str">
        <f>"APSE"</f>
        <v>APSE</v>
      </c>
      <c r="J2568" t="str">
        <f>"Training Expenses - Course Fees Expenses Employees And Related Expenses Highway Operations Green Space and Street Scene"</f>
        <v>Training Expenses - Course Fees Expenses Employees And Related Expenses Highway Operations Green Space and Street Scene</v>
      </c>
    </row>
    <row r="2569" spans="1:10" x14ac:dyDescent="0.35">
      <c r="A2569" t="str">
        <f t="shared" si="453"/>
        <v>FEB</v>
      </c>
      <c r="B2569" t="str">
        <f t="shared" si="457"/>
        <v>21</v>
      </c>
      <c r="C2569" t="str">
        <f t="shared" si="458"/>
        <v>2020/21</v>
      </c>
      <c r="D2569" t="str">
        <f>"LS HO 206700"</f>
        <v>LS HO 206700</v>
      </c>
      <c r="E2569" t="str">
        <f t="shared" si="459"/>
        <v>LS</v>
      </c>
      <c r="F2569" t="s">
        <v>35</v>
      </c>
      <c r="G2569" t="s">
        <v>14</v>
      </c>
      <c r="H2569">
        <v>100</v>
      </c>
      <c r="I2569" t="str">
        <f>"Canal &amp; River Trust (British Waterways)"</f>
        <v>Canal &amp; River Trust (British Waterways)</v>
      </c>
      <c r="J2569" t="str">
        <f>"Equipment Tools &amp; Materials - General Equipment Furniture And Materials Supplies And Services Highway Operations Green Space and Street Scene"</f>
        <v>Equipment Tools &amp; Materials - General Equipment Furniture And Materials Supplies And Services Highway Operations Green Space and Street Scene</v>
      </c>
    </row>
    <row r="2570" spans="1:10" x14ac:dyDescent="0.35">
      <c r="A2570" t="str">
        <f t="shared" ref="A2570:A2633" si="460">"MAR"</f>
        <v>MAR</v>
      </c>
      <c r="B2570" t="str">
        <f t="shared" si="457"/>
        <v>21</v>
      </c>
      <c r="C2570" t="str">
        <f t="shared" si="458"/>
        <v>2020/21</v>
      </c>
      <c r="D2570" t="str">
        <f>"LS MU 206901"</f>
        <v>LS MU 206901</v>
      </c>
      <c r="E2570" t="str">
        <f t="shared" si="459"/>
        <v>LS</v>
      </c>
      <c r="F2570" t="s">
        <v>37</v>
      </c>
      <c r="G2570" t="s">
        <v>14</v>
      </c>
      <c r="H2570">
        <v>29970</v>
      </c>
      <c r="I2570" t="str">
        <f>"The Piece Hall Trust"</f>
        <v>The Piece Hall Trust</v>
      </c>
      <c r="J2570" t="str">
        <f>"Miscellaneous Activity Costs - Heritage &amp; Learning Assistant Piece Hall Transformation Project - Delivery Phase Service Development - Client Ser"</f>
        <v>Miscellaneous Activity Costs - Heritage &amp; Learning Assistant Piece Hall Transformation Project - Delivery Phase Service Development - Client Ser</v>
      </c>
    </row>
    <row r="2571" spans="1:10" x14ac:dyDescent="0.35">
      <c r="A2571" t="str">
        <f t="shared" si="460"/>
        <v>MAR</v>
      </c>
      <c r="B2571" t="str">
        <f t="shared" si="457"/>
        <v>21</v>
      </c>
      <c r="C2571" t="str">
        <f t="shared" si="458"/>
        <v>2020/21</v>
      </c>
      <c r="D2571" t="str">
        <f>"LS NE 207007"</f>
        <v>LS NE 207007</v>
      </c>
      <c r="E2571" t="str">
        <f t="shared" si="459"/>
        <v>LS</v>
      </c>
      <c r="F2571" t="s">
        <v>13</v>
      </c>
      <c r="G2571" t="s">
        <v>14</v>
      </c>
      <c r="H2571">
        <v>500</v>
      </c>
      <c r="I2571" t="str">
        <f>"Age concern Todmorden"</f>
        <v>Age concern Todmorden</v>
      </c>
      <c r="J2571" t="str">
        <f t="shared" ref="J2571:J2580" si="461">"Ward Forums Grants And Subscriptions Supplies And Services Neighbourhood Working Community Safety &amp; Support"</f>
        <v>Ward Forums Grants And Subscriptions Supplies And Services Neighbourhood Working Community Safety &amp; Support</v>
      </c>
    </row>
    <row r="2572" spans="1:10" x14ac:dyDescent="0.35">
      <c r="A2572" t="str">
        <f t="shared" si="460"/>
        <v>MAR</v>
      </c>
      <c r="B2572" t="str">
        <f t="shared" si="457"/>
        <v>21</v>
      </c>
      <c r="C2572" t="str">
        <f t="shared" si="458"/>
        <v>2020/21</v>
      </c>
      <c r="D2572" t="str">
        <f>"LS NE 206855"</f>
        <v>LS NE 206855</v>
      </c>
      <c r="E2572" t="str">
        <f t="shared" si="459"/>
        <v>LS</v>
      </c>
      <c r="F2572" t="s">
        <v>13</v>
      </c>
      <c r="G2572" t="s">
        <v>14</v>
      </c>
      <c r="H2572">
        <v>1500</v>
      </c>
      <c r="I2572" t="str">
        <f>"Bailiff Bridge Res &amp;Friends of B Bridge Park Group"</f>
        <v>Bailiff Bridge Res &amp;Friends of B Bridge Park Group</v>
      </c>
      <c r="J2572" t="str">
        <f t="shared" si="461"/>
        <v>Ward Forums Grants And Subscriptions Supplies And Services Neighbourhood Working Community Safety &amp; Support</v>
      </c>
    </row>
    <row r="2573" spans="1:10" x14ac:dyDescent="0.35">
      <c r="A2573" t="str">
        <f t="shared" si="460"/>
        <v>MAR</v>
      </c>
      <c r="B2573" t="str">
        <f t="shared" si="457"/>
        <v>21</v>
      </c>
      <c r="C2573" t="str">
        <f t="shared" si="458"/>
        <v>2020/21</v>
      </c>
      <c r="D2573" t="str">
        <f>"LS NE 207045"</f>
        <v>LS NE 207045</v>
      </c>
      <c r="E2573" t="str">
        <f t="shared" si="459"/>
        <v>LS</v>
      </c>
      <c r="F2573" t="s">
        <v>13</v>
      </c>
      <c r="G2573" t="s">
        <v>14</v>
      </c>
      <c r="H2573">
        <v>500</v>
      </c>
      <c r="I2573" t="str">
        <f>"Clifton Village Community Association"</f>
        <v>Clifton Village Community Association</v>
      </c>
      <c r="J2573" t="str">
        <f t="shared" si="461"/>
        <v>Ward Forums Grants And Subscriptions Supplies And Services Neighbourhood Working Community Safety &amp; Support</v>
      </c>
    </row>
    <row r="2574" spans="1:10" x14ac:dyDescent="0.35">
      <c r="A2574" t="str">
        <f t="shared" si="460"/>
        <v>MAR</v>
      </c>
      <c r="B2574" t="str">
        <f t="shared" si="457"/>
        <v>21</v>
      </c>
      <c r="C2574" t="str">
        <f t="shared" si="458"/>
        <v>2020/21</v>
      </c>
      <c r="D2574" t="str">
        <f>"LS NE 207065"</f>
        <v>LS NE 207065</v>
      </c>
      <c r="E2574" t="str">
        <f t="shared" si="459"/>
        <v>LS</v>
      </c>
      <c r="F2574" t="s">
        <v>13</v>
      </c>
      <c r="G2574" t="s">
        <v>14</v>
      </c>
      <c r="H2574">
        <v>500</v>
      </c>
      <c r="I2574" t="str">
        <f>"Dementia Friendly Sowerby Bridge"</f>
        <v>Dementia Friendly Sowerby Bridge</v>
      </c>
      <c r="J2574" t="str">
        <f t="shared" si="461"/>
        <v>Ward Forums Grants And Subscriptions Supplies And Services Neighbourhood Working Community Safety &amp; Support</v>
      </c>
    </row>
    <row r="2575" spans="1:10" x14ac:dyDescent="0.35">
      <c r="A2575" t="str">
        <f t="shared" si="460"/>
        <v>MAR</v>
      </c>
      <c r="B2575" t="str">
        <f t="shared" si="457"/>
        <v>21</v>
      </c>
      <c r="C2575" t="str">
        <f t="shared" si="458"/>
        <v>2020/21</v>
      </c>
      <c r="D2575" t="str">
        <f>"LS NE 207095"</f>
        <v>LS NE 207095</v>
      </c>
      <c r="E2575" t="str">
        <f t="shared" si="459"/>
        <v>LS</v>
      </c>
      <c r="F2575" t="s">
        <v>13</v>
      </c>
      <c r="G2575" t="s">
        <v>14</v>
      </c>
      <c r="H2575">
        <v>500</v>
      </c>
      <c r="I2575" t="str">
        <f>"Friends of Crow Wood Park"</f>
        <v>Friends of Crow Wood Park</v>
      </c>
      <c r="J2575" t="str">
        <f t="shared" si="461"/>
        <v>Ward Forums Grants And Subscriptions Supplies And Services Neighbourhood Working Community Safety &amp; Support</v>
      </c>
    </row>
    <row r="2576" spans="1:10" x14ac:dyDescent="0.35">
      <c r="A2576" t="str">
        <f t="shared" si="460"/>
        <v>MAR</v>
      </c>
      <c r="B2576" t="str">
        <f t="shared" si="457"/>
        <v>21</v>
      </c>
      <c r="C2576" t="str">
        <f t="shared" si="458"/>
        <v>2020/21</v>
      </c>
      <c r="D2576" t="str">
        <f>"LS NE 207087"</f>
        <v>LS NE 207087</v>
      </c>
      <c r="E2576" t="str">
        <f t="shared" si="459"/>
        <v>LS</v>
      </c>
      <c r="F2576" t="s">
        <v>13</v>
      </c>
      <c r="G2576" t="s">
        <v>14</v>
      </c>
      <c r="H2576">
        <v>500</v>
      </c>
      <c r="I2576" t="str">
        <f>"Sowood Preschool &amp; Community Association"</f>
        <v>Sowood Preschool &amp; Community Association</v>
      </c>
      <c r="J2576" t="str">
        <f t="shared" si="461"/>
        <v>Ward Forums Grants And Subscriptions Supplies And Services Neighbourhood Working Community Safety &amp; Support</v>
      </c>
    </row>
    <row r="2577" spans="1:10" x14ac:dyDescent="0.35">
      <c r="A2577" t="str">
        <f t="shared" si="460"/>
        <v>MAR</v>
      </c>
      <c r="B2577" t="str">
        <f t="shared" si="457"/>
        <v>21</v>
      </c>
      <c r="C2577" t="str">
        <f t="shared" si="458"/>
        <v>2020/21</v>
      </c>
      <c r="D2577" t="str">
        <f>"LS NE 207094"</f>
        <v>LS NE 207094</v>
      </c>
      <c r="E2577" t="str">
        <f t="shared" si="459"/>
        <v>LS</v>
      </c>
      <c r="F2577" t="s">
        <v>13</v>
      </c>
      <c r="G2577" t="s">
        <v>14</v>
      </c>
      <c r="H2577">
        <v>500</v>
      </c>
      <c r="I2577" t="str">
        <f>"Sowerby Bridge Fire And Water Ltd"</f>
        <v>Sowerby Bridge Fire And Water Ltd</v>
      </c>
      <c r="J2577" t="str">
        <f t="shared" si="461"/>
        <v>Ward Forums Grants And Subscriptions Supplies And Services Neighbourhood Working Community Safety &amp; Support</v>
      </c>
    </row>
    <row r="2578" spans="1:10" x14ac:dyDescent="0.35">
      <c r="A2578" t="str">
        <f t="shared" si="460"/>
        <v>MAR</v>
      </c>
      <c r="B2578" t="str">
        <f t="shared" si="457"/>
        <v>21</v>
      </c>
      <c r="C2578" t="str">
        <f t="shared" si="458"/>
        <v>2020/21</v>
      </c>
      <c r="D2578" t="str">
        <f>"LS NE 207018"</f>
        <v>LS NE 207018</v>
      </c>
      <c r="E2578" t="str">
        <f t="shared" si="459"/>
        <v>LS</v>
      </c>
      <c r="F2578" t="s">
        <v>13</v>
      </c>
      <c r="G2578" t="s">
        <v>14</v>
      </c>
      <c r="H2578">
        <v>500</v>
      </c>
      <c r="I2578" t="str">
        <f>"Todmorden Food Drop In"</f>
        <v>Todmorden Food Drop In</v>
      </c>
      <c r="J2578" t="str">
        <f t="shared" si="461"/>
        <v>Ward Forums Grants And Subscriptions Supplies And Services Neighbourhood Working Community Safety &amp; Support</v>
      </c>
    </row>
    <row r="2579" spans="1:10" x14ac:dyDescent="0.35">
      <c r="A2579" t="str">
        <f t="shared" si="460"/>
        <v>MAR</v>
      </c>
      <c r="B2579" t="str">
        <f t="shared" si="457"/>
        <v>21</v>
      </c>
      <c r="C2579" t="str">
        <f t="shared" si="458"/>
        <v>2020/21</v>
      </c>
      <c r="D2579" t="str">
        <f>"LS NE 207075"</f>
        <v>LS NE 207075</v>
      </c>
      <c r="E2579" t="str">
        <f t="shared" si="459"/>
        <v>LS</v>
      </c>
      <c r="F2579" t="s">
        <v>13</v>
      </c>
      <c r="G2579" t="s">
        <v>14</v>
      </c>
      <c r="H2579">
        <v>500</v>
      </c>
      <c r="I2579" t="str">
        <f>"Todmorden Information Centre Trust"</f>
        <v>Todmorden Information Centre Trust</v>
      </c>
      <c r="J2579" t="str">
        <f t="shared" si="461"/>
        <v>Ward Forums Grants And Subscriptions Supplies And Services Neighbourhood Working Community Safety &amp; Support</v>
      </c>
    </row>
    <row r="2580" spans="1:10" x14ac:dyDescent="0.35">
      <c r="A2580" t="str">
        <f t="shared" si="460"/>
        <v>MAR</v>
      </c>
      <c r="B2580" t="str">
        <f t="shared" si="457"/>
        <v>21</v>
      </c>
      <c r="C2580" t="str">
        <f t="shared" si="458"/>
        <v>2020/21</v>
      </c>
      <c r="D2580" t="str">
        <f>"LS NE 207079"</f>
        <v>LS NE 207079</v>
      </c>
      <c r="E2580" t="str">
        <f t="shared" si="459"/>
        <v>LS</v>
      </c>
      <c r="F2580" t="s">
        <v>13</v>
      </c>
      <c r="G2580" t="s">
        <v>14</v>
      </c>
      <c r="H2580">
        <v>500</v>
      </c>
      <c r="I2580" t="str">
        <f>"Youth Concern Action Group"</f>
        <v>Youth Concern Action Group</v>
      </c>
      <c r="J2580" t="str">
        <f t="shared" si="461"/>
        <v>Ward Forums Grants And Subscriptions Supplies And Services Neighbourhood Working Community Safety &amp; Support</v>
      </c>
    </row>
    <row r="2581" spans="1:10" x14ac:dyDescent="0.35">
      <c r="A2581" t="str">
        <f t="shared" si="460"/>
        <v>MAR</v>
      </c>
      <c r="B2581" t="str">
        <f t="shared" si="457"/>
        <v>21</v>
      </c>
      <c r="C2581" t="str">
        <f t="shared" si="458"/>
        <v>2020/21</v>
      </c>
      <c r="D2581" t="str">
        <f>"LS NE 206900"</f>
        <v>LS NE 206900</v>
      </c>
      <c r="E2581" t="str">
        <f t="shared" si="459"/>
        <v>LS</v>
      </c>
      <c r="F2581" t="s">
        <v>13</v>
      </c>
      <c r="G2581" t="s">
        <v>14</v>
      </c>
      <c r="H2581">
        <v>1778.63</v>
      </c>
      <c r="I2581" t="str">
        <f>"Hebden Bridge Community Association"</f>
        <v>Hebden Bridge Community Association</v>
      </c>
      <c r="J2581" t="str">
        <f>"Staying Well - Hub Payments Miscellaneous Expenses Supplies And Services Neighbourhood Schemes / Staying Well Project Community Safety &amp; Support"</f>
        <v>Staying Well - Hub Payments Miscellaneous Expenses Supplies And Services Neighbourhood Schemes / Staying Well Project Community Safety &amp; Support</v>
      </c>
    </row>
    <row r="2582" spans="1:10" x14ac:dyDescent="0.35">
      <c r="A2582" t="str">
        <f t="shared" si="460"/>
        <v>MAR</v>
      </c>
      <c r="B2582" t="str">
        <f t="shared" si="457"/>
        <v>21</v>
      </c>
      <c r="C2582" t="str">
        <f t="shared" si="458"/>
        <v>2020/21</v>
      </c>
      <c r="D2582" t="str">
        <f>"LS NE 206900"</f>
        <v>LS NE 206900</v>
      </c>
      <c r="E2582" t="str">
        <f t="shared" si="459"/>
        <v>LS</v>
      </c>
      <c r="F2582" t="s">
        <v>13</v>
      </c>
      <c r="G2582" t="s">
        <v>14</v>
      </c>
      <c r="H2582">
        <v>1552.57</v>
      </c>
      <c r="I2582" t="str">
        <f>"Hebden Bridge Community Association"</f>
        <v>Hebden Bridge Community Association</v>
      </c>
      <c r="J2582" t="str">
        <f>"Staying Well - Hub Payments Miscellaneous Expenses Supplies And Services Neighbourhood Schemes / Staying Well Project Community Safety &amp; Support"</f>
        <v>Staying Well - Hub Payments Miscellaneous Expenses Supplies And Services Neighbourhood Schemes / Staying Well Project Community Safety &amp; Support</v>
      </c>
    </row>
    <row r="2583" spans="1:10" x14ac:dyDescent="0.35">
      <c r="A2583" t="str">
        <f t="shared" si="460"/>
        <v>MAR</v>
      </c>
      <c r="B2583" t="str">
        <f t="shared" si="457"/>
        <v>21</v>
      </c>
      <c r="C2583" t="str">
        <f t="shared" si="458"/>
        <v>2020/21</v>
      </c>
      <c r="D2583" t="str">
        <f>"LS MU 207118"</f>
        <v>LS MU 207118</v>
      </c>
      <c r="E2583" t="str">
        <f t="shared" si="459"/>
        <v>LS</v>
      </c>
      <c r="F2583" t="s">
        <v>16</v>
      </c>
      <c r="G2583" t="s">
        <v>14</v>
      </c>
      <c r="H2583">
        <v>87500</v>
      </c>
      <c r="I2583" t="str">
        <f>"The Piece Hall Trust"</f>
        <v>The Piece Hall Trust</v>
      </c>
      <c r="J2583" t="str">
        <f>"Miscellaneous General Miscellaneous Expenses Supplies And Services Piece Hall Museums &amp; Arts"</f>
        <v>Miscellaneous General Miscellaneous Expenses Supplies And Services Piece Hall Museums &amp; Arts</v>
      </c>
    </row>
    <row r="2584" spans="1:10" x14ac:dyDescent="0.35">
      <c r="A2584" t="str">
        <f t="shared" si="460"/>
        <v>MAR</v>
      </c>
      <c r="B2584" t="str">
        <f t="shared" si="457"/>
        <v>21</v>
      </c>
      <c r="C2584" t="str">
        <f t="shared" si="458"/>
        <v>2020/21</v>
      </c>
      <c r="E2584" t="str">
        <f t="shared" si="459"/>
        <v/>
      </c>
      <c r="F2584" t="s">
        <v>17</v>
      </c>
      <c r="G2584" t="s">
        <v>18</v>
      </c>
      <c r="H2584">
        <v>50000</v>
      </c>
      <c r="I2584" t="str">
        <f>"Community Foundation for Calderdale"</f>
        <v>Community Foundation for Calderdale</v>
      </c>
      <c r="J2584" t="str">
        <f>"Never Hungry Again campaign (CFFC) Grants And Subscriptions Supplies And Services COVID19 - DEFRA Emergency Assistance Grant Economy and Investm"</f>
        <v>Never Hungry Again campaign (CFFC) Grants And Subscriptions Supplies And Services COVID19 - DEFRA Emergency Assistance Grant Economy and Investm</v>
      </c>
    </row>
    <row r="2585" spans="1:10" x14ac:dyDescent="0.35">
      <c r="A2585" t="str">
        <f t="shared" si="460"/>
        <v>MAR</v>
      </c>
      <c r="B2585" t="str">
        <f t="shared" si="457"/>
        <v>21</v>
      </c>
      <c r="C2585" t="str">
        <f t="shared" si="458"/>
        <v>2020/21</v>
      </c>
      <c r="D2585" t="str">
        <f>"TF CI 000768"</f>
        <v>TF CI 000768</v>
      </c>
      <c r="E2585" t="str">
        <f t="shared" si="459"/>
        <v>TF</v>
      </c>
      <c r="F2585" t="s">
        <v>17</v>
      </c>
      <c r="G2585" t="s">
        <v>18</v>
      </c>
      <c r="H2585">
        <v>432.83</v>
      </c>
      <c r="I2585" t="str">
        <f>"The Piece Hall Trust"</f>
        <v>The Piece Hall Trust</v>
      </c>
      <c r="J2585" t="str">
        <f>"Rent Rent And Rates Premises And Related Expenses Halifax TIC Economy and Investment"</f>
        <v>Rent Rent And Rates Premises And Related Expenses Halifax TIC Economy and Investment</v>
      </c>
    </row>
    <row r="2586" spans="1:10" x14ac:dyDescent="0.35">
      <c r="A2586" t="str">
        <f t="shared" si="460"/>
        <v>MAR</v>
      </c>
      <c r="B2586" t="str">
        <f t="shared" si="457"/>
        <v>21</v>
      </c>
      <c r="C2586" t="str">
        <f t="shared" si="458"/>
        <v>2020/21</v>
      </c>
      <c r="E2586" t="str">
        <f t="shared" si="459"/>
        <v/>
      </c>
      <c r="F2586" t="s">
        <v>17</v>
      </c>
      <c r="G2586" t="s">
        <v>18</v>
      </c>
      <c r="H2586">
        <v>38612.400000000001</v>
      </c>
      <c r="I2586" t="str">
        <f>"Sowerby Bridge Fire And Water Ltd"</f>
        <v>Sowerby Bridge Fire And Water Ltd</v>
      </c>
      <c r="J2586" t="str">
        <f>"Misc Expenses Miscellaneous Expenses Supplies And Services Heritage Action Zone - Sowerby Bridge Economy and Investment"</f>
        <v>Misc Expenses Miscellaneous Expenses Supplies And Services Heritage Action Zone - Sowerby Bridge Economy and Investment</v>
      </c>
    </row>
    <row r="2587" spans="1:10" x14ac:dyDescent="0.35">
      <c r="A2587" t="str">
        <f t="shared" si="460"/>
        <v>MAR</v>
      </c>
      <c r="B2587" t="str">
        <f t="shared" si="457"/>
        <v>21</v>
      </c>
      <c r="C2587" t="str">
        <f t="shared" si="458"/>
        <v>2020/21</v>
      </c>
      <c r="D2587" t="str">
        <f>"SC CK 217447"</f>
        <v>SC CK 217447</v>
      </c>
      <c r="E2587" t="str">
        <f t="shared" si="459"/>
        <v>SC</v>
      </c>
      <c r="F2587" t="s">
        <v>21</v>
      </c>
      <c r="G2587" t="s">
        <v>22</v>
      </c>
      <c r="H2587">
        <v>4144.12</v>
      </c>
      <c r="I2587" t="str">
        <f>"Noahs Ark Centre"</f>
        <v>Noahs Ark Centre</v>
      </c>
      <c r="J2587" t="str">
        <f>"Prevention / Early Intervention Private Contractors Agency And Contracted Services Transformation Plan - grant funding Integrated commissioning"</f>
        <v>Prevention / Early Intervention Private Contractors Agency And Contracted Services Transformation Plan - grant funding Integrated commissioning</v>
      </c>
    </row>
    <row r="2588" spans="1:10" x14ac:dyDescent="0.35">
      <c r="A2588" t="str">
        <f t="shared" si="460"/>
        <v>MAR</v>
      </c>
      <c r="B2588" t="str">
        <f t="shared" si="457"/>
        <v>21</v>
      </c>
      <c r="C2588" t="str">
        <f t="shared" si="458"/>
        <v>2020/21</v>
      </c>
      <c r="D2588" t="str">
        <f>"SC CK 213528"</f>
        <v>SC CK 213528</v>
      </c>
      <c r="E2588" t="str">
        <f t="shared" si="459"/>
        <v>SC</v>
      </c>
      <c r="F2588" t="s">
        <v>21</v>
      </c>
      <c r="G2588" t="s">
        <v>22</v>
      </c>
      <c r="H2588">
        <v>15000</v>
      </c>
      <c r="I2588" t="str">
        <f>"Barnardo's"</f>
        <v>Barnardo's</v>
      </c>
      <c r="J2588" t="str">
        <f>"Workforce development Private Contractors Agency And Contracted Services Transformation Plan - grant funding Integrated commissioning - children"</f>
        <v>Workforce development Private Contractors Agency And Contracted Services Transformation Plan - grant funding Integrated commissioning - children</v>
      </c>
    </row>
    <row r="2589" spans="1:10" x14ac:dyDescent="0.35">
      <c r="A2589" t="str">
        <f t="shared" si="460"/>
        <v>MAR</v>
      </c>
      <c r="B2589" t="str">
        <f t="shared" si="457"/>
        <v>21</v>
      </c>
      <c r="C2589" t="str">
        <f t="shared" si="458"/>
        <v>2020/21</v>
      </c>
      <c r="D2589" t="str">
        <f>"SC CK 209518"</f>
        <v>SC CK 209518</v>
      </c>
      <c r="E2589" t="str">
        <f t="shared" si="459"/>
        <v>SC</v>
      </c>
      <c r="F2589" t="s">
        <v>21</v>
      </c>
      <c r="G2589" t="s">
        <v>22</v>
      </c>
      <c r="H2589">
        <v>1060</v>
      </c>
      <c r="I2589" t="str">
        <f>"Unique Ways"</f>
        <v>Unique Ways</v>
      </c>
      <c r="J2589" t="str">
        <f>"Parent &amp; carers training Expenses Employees And Related Expenses SEND Reform grant Integrated commissioning - children's"</f>
        <v>Parent &amp; carers training Expenses Employees And Related Expenses SEND Reform grant Integrated commissioning - children's</v>
      </c>
    </row>
    <row r="2590" spans="1:10" x14ac:dyDescent="0.35">
      <c r="A2590" t="str">
        <f t="shared" si="460"/>
        <v>MAR</v>
      </c>
      <c r="B2590" t="str">
        <f t="shared" si="457"/>
        <v>21</v>
      </c>
      <c r="C2590" t="str">
        <f t="shared" si="458"/>
        <v>2020/21</v>
      </c>
      <c r="D2590" t="str">
        <f>"SC CK 210369"</f>
        <v>SC CK 210369</v>
      </c>
      <c r="E2590" t="str">
        <f t="shared" si="459"/>
        <v>SC</v>
      </c>
      <c r="F2590" t="s">
        <v>21</v>
      </c>
      <c r="G2590" t="s">
        <v>22</v>
      </c>
      <c r="H2590">
        <v>7327.63</v>
      </c>
      <c r="I2590" t="str">
        <f>"Unique Ways"</f>
        <v>Unique Ways</v>
      </c>
      <c r="J2590" t="str">
        <f>"EHC Plans independent support - 2018/19 High needs funding Services Supplies And Services CYP Commissioned Services Integrated commissioning - c"</f>
        <v>EHC Plans independent support - 2018/19 High needs funding Services Supplies And Services CYP Commissioned Services Integrated commissioning - c</v>
      </c>
    </row>
    <row r="2591" spans="1:10" x14ac:dyDescent="0.35">
      <c r="A2591" t="str">
        <f t="shared" si="460"/>
        <v>MAR</v>
      </c>
      <c r="B2591" t="str">
        <f t="shared" si="457"/>
        <v>21</v>
      </c>
      <c r="C2591" t="str">
        <f t="shared" si="458"/>
        <v>2020/21</v>
      </c>
      <c r="D2591" t="str">
        <f>"SC CK 210369"</f>
        <v>SC CK 210369</v>
      </c>
      <c r="E2591" t="str">
        <f t="shared" si="459"/>
        <v>SC</v>
      </c>
      <c r="F2591" t="s">
        <v>21</v>
      </c>
      <c r="G2591" t="s">
        <v>22</v>
      </c>
      <c r="H2591">
        <v>1265.92</v>
      </c>
      <c r="I2591" t="str">
        <f>"Unique Ways"</f>
        <v>Unique Ways</v>
      </c>
      <c r="J2591" t="str">
        <f>"EHC Plans independent support - 2018/19 High needs funding Services Supplies And Services CYP Commissioned Services Integrated commissioning - c"</f>
        <v>EHC Plans independent support - 2018/19 High needs funding Services Supplies And Services CYP Commissioned Services Integrated commissioning - c</v>
      </c>
    </row>
    <row r="2592" spans="1:10" x14ac:dyDescent="0.35">
      <c r="A2592" t="str">
        <f t="shared" si="460"/>
        <v>MAR</v>
      </c>
      <c r="B2592" t="str">
        <f t="shared" si="457"/>
        <v>21</v>
      </c>
      <c r="C2592" t="str">
        <f t="shared" si="458"/>
        <v>2020/21</v>
      </c>
      <c r="D2592" t="str">
        <f>"SC CK 215400"</f>
        <v>SC CK 215400</v>
      </c>
      <c r="E2592" t="str">
        <f t="shared" si="459"/>
        <v>SC</v>
      </c>
      <c r="F2592" t="s">
        <v>21</v>
      </c>
      <c r="G2592" t="s">
        <v>22</v>
      </c>
      <c r="H2592">
        <v>152481.74</v>
      </c>
      <c r="I2592" t="str">
        <f>"North Halifax Partnership Ltd"</f>
        <v>North Halifax Partnership Ltd</v>
      </c>
      <c r="J2592" t="str">
        <f>"Childrens Centres Lot 1 North East &amp; Lower Valley Expenses Supplies And Services CYP Commissioned Services Integrated commissioning - children's"</f>
        <v>Childrens Centres Lot 1 North East &amp; Lower Valley Expenses Supplies And Services CYP Commissioned Services Integrated commissioning - children's</v>
      </c>
    </row>
    <row r="2593" spans="1:10" x14ac:dyDescent="0.35">
      <c r="A2593" t="str">
        <f t="shared" si="460"/>
        <v>MAR</v>
      </c>
      <c r="B2593" t="str">
        <f t="shared" si="457"/>
        <v>21</v>
      </c>
      <c r="C2593" t="str">
        <f t="shared" si="458"/>
        <v>2020/21</v>
      </c>
      <c r="D2593" t="str">
        <f>"SC CK 215517"</f>
        <v>SC CK 215517</v>
      </c>
      <c r="E2593" t="str">
        <f t="shared" si="459"/>
        <v>SC</v>
      </c>
      <c r="F2593" t="s">
        <v>21</v>
      </c>
      <c r="G2593" t="s">
        <v>22</v>
      </c>
      <c r="H2593">
        <v>184620.84</v>
      </c>
      <c r="I2593" t="str">
        <f>"Halifax Opportunities Trust"</f>
        <v>Halifax Opportunities Trust</v>
      </c>
      <c r="J2593" t="str">
        <f>"Childrens Centres Lot 2 Central &amp; Upper Valley Expenses Supplies And Services CYP Commissioned Services Integrated commissioning - children's"</f>
        <v>Childrens Centres Lot 2 Central &amp; Upper Valley Expenses Supplies And Services CYP Commissioned Services Integrated commissioning - children's</v>
      </c>
    </row>
    <row r="2594" spans="1:10" x14ac:dyDescent="0.35">
      <c r="A2594" t="str">
        <f t="shared" si="460"/>
        <v>MAR</v>
      </c>
      <c r="B2594" t="str">
        <f t="shared" si="457"/>
        <v>21</v>
      </c>
      <c r="C2594" t="str">
        <f t="shared" si="458"/>
        <v>2020/21</v>
      </c>
      <c r="D2594" t="str">
        <f>"SC CK 214912"</f>
        <v>SC CK 214912</v>
      </c>
      <c r="E2594" t="str">
        <f t="shared" si="459"/>
        <v>SC</v>
      </c>
      <c r="F2594" t="s">
        <v>21</v>
      </c>
      <c r="G2594" t="s">
        <v>22</v>
      </c>
      <c r="H2594">
        <v>12500</v>
      </c>
      <c r="I2594" t="str">
        <f>"Noahs Ark Centre"</f>
        <v>Noahs Ark Centre</v>
      </c>
      <c r="J2594" t="str">
        <f>"MH/EWB Pilot Scheme 19/20 Bdgt Growth Private Contractors Agency And Contracted Services CYP Commissioned Services Integrated commissioning - ch"</f>
        <v>MH/EWB Pilot Scheme 19/20 Bdgt Growth Private Contractors Agency And Contracted Services CYP Commissioned Services Integrated commissioning - ch</v>
      </c>
    </row>
    <row r="2595" spans="1:10" x14ac:dyDescent="0.35">
      <c r="A2595" t="str">
        <f t="shared" si="460"/>
        <v>MAR</v>
      </c>
      <c r="B2595" t="str">
        <f t="shared" si="457"/>
        <v>21</v>
      </c>
      <c r="C2595" t="str">
        <f t="shared" si="458"/>
        <v>2020/21</v>
      </c>
      <c r="D2595" t="str">
        <f>"SC DC 215411"</f>
        <v>SC DC 215411</v>
      </c>
      <c r="E2595" t="str">
        <f t="shared" si="459"/>
        <v>SC</v>
      </c>
      <c r="F2595" t="s">
        <v>21</v>
      </c>
      <c r="G2595" t="s">
        <v>22</v>
      </c>
      <c r="H2595">
        <v>443.52</v>
      </c>
      <c r="I2595" t="str">
        <f>"The Mayfield Trust"</f>
        <v>The Mayfield Trust</v>
      </c>
      <c r="J2595" t="str">
        <f>"Personal Care Private Contractors Agency And Contracted Services Short Breaks Integrated commissioning - children's"</f>
        <v>Personal Care Private Contractors Agency And Contracted Services Short Breaks Integrated commissioning - children's</v>
      </c>
    </row>
    <row r="2596" spans="1:10" x14ac:dyDescent="0.35">
      <c r="A2596" t="str">
        <f t="shared" si="460"/>
        <v>MAR</v>
      </c>
      <c r="B2596" t="str">
        <f t="shared" si="457"/>
        <v>21</v>
      </c>
      <c r="C2596" t="str">
        <f t="shared" si="458"/>
        <v>2020/21</v>
      </c>
      <c r="D2596" t="str">
        <f>"SC DC 215416"</f>
        <v>SC DC 215416</v>
      </c>
      <c r="E2596" t="str">
        <f t="shared" si="459"/>
        <v>SC</v>
      </c>
      <c r="F2596" t="s">
        <v>21</v>
      </c>
      <c r="G2596" t="s">
        <v>22</v>
      </c>
      <c r="H2596">
        <v>190.08</v>
      </c>
      <c r="I2596" t="str">
        <f>"The Mayfield Trust"</f>
        <v>The Mayfield Trust</v>
      </c>
      <c r="J2596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2597" spans="1:10" x14ac:dyDescent="0.35">
      <c r="A2597" t="str">
        <f t="shared" si="460"/>
        <v>MAR</v>
      </c>
      <c r="B2597" t="str">
        <f t="shared" si="457"/>
        <v>21</v>
      </c>
      <c r="C2597" t="str">
        <f t="shared" si="458"/>
        <v>2020/21</v>
      </c>
      <c r="D2597" t="str">
        <f>"SC DC 215835"</f>
        <v>SC DC 215835</v>
      </c>
      <c r="E2597" t="str">
        <f t="shared" si="459"/>
        <v>SC</v>
      </c>
      <c r="F2597" t="s">
        <v>21</v>
      </c>
      <c r="G2597" t="s">
        <v>22</v>
      </c>
      <c r="H2597">
        <v>142.56</v>
      </c>
      <c r="I2597" t="str">
        <f>"The Mayfield Trust"</f>
        <v>The Mayfield Trust</v>
      </c>
      <c r="J2597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2598" spans="1:10" x14ac:dyDescent="0.35">
      <c r="A2598" t="str">
        <f t="shared" si="460"/>
        <v>MAR</v>
      </c>
      <c r="B2598" t="str">
        <f t="shared" si="457"/>
        <v>21</v>
      </c>
      <c r="C2598" t="str">
        <f t="shared" si="458"/>
        <v>2020/21</v>
      </c>
      <c r="D2598" t="str">
        <f>"SC DC 215411"</f>
        <v>SC DC 215411</v>
      </c>
      <c r="E2598" t="str">
        <f t="shared" si="459"/>
        <v>SC</v>
      </c>
      <c r="F2598" t="s">
        <v>21</v>
      </c>
      <c r="G2598" t="s">
        <v>22</v>
      </c>
      <c r="H2598">
        <v>126.72</v>
      </c>
      <c r="I2598" t="str">
        <f>"The Mayfield Trust"</f>
        <v>The Mayfield Trust</v>
      </c>
      <c r="J2598" t="str">
        <f>"Outreach Private Contractors Agency And Contracted Services Short Breaks Integrated commissioning - children's"</f>
        <v>Outreach Private Contractors Agency And Contracted Services Short Breaks Integrated commissioning - children's</v>
      </c>
    </row>
    <row r="2599" spans="1:10" x14ac:dyDescent="0.35">
      <c r="A2599" t="str">
        <f t="shared" si="460"/>
        <v>MAR</v>
      </c>
      <c r="B2599" t="str">
        <f t="shared" si="457"/>
        <v>21</v>
      </c>
      <c r="C2599" t="str">
        <f t="shared" si="458"/>
        <v>2020/21</v>
      </c>
      <c r="D2599" t="str">
        <f>"SC CK 214910"</f>
        <v>SC CK 214910</v>
      </c>
      <c r="E2599" t="str">
        <f t="shared" si="459"/>
        <v>SC</v>
      </c>
      <c r="F2599" t="s">
        <v>21</v>
      </c>
      <c r="G2599" t="s">
        <v>22</v>
      </c>
      <c r="H2599">
        <v>1300</v>
      </c>
      <c r="I2599" t="str">
        <f>"Phoenix Radio"</f>
        <v>Phoenix Radio</v>
      </c>
      <c r="J2599" t="str">
        <f>"Group Activities Other Agency And Contracted Services Agency And Contracted Services Short Breaks Integrated commissioning - children's"</f>
        <v>Group Activities Other Agency And Contracted Services Agency And Contracted Services Short Breaks Integrated commissioning - children's</v>
      </c>
    </row>
    <row r="2600" spans="1:10" x14ac:dyDescent="0.35">
      <c r="A2600" t="str">
        <f t="shared" si="460"/>
        <v>MAR</v>
      </c>
      <c r="B2600" t="str">
        <f t="shared" si="457"/>
        <v>21</v>
      </c>
      <c r="C2600" t="str">
        <f t="shared" si="458"/>
        <v>2020/21</v>
      </c>
      <c r="D2600" t="str">
        <f>"CE PH 014400"</f>
        <v>CE PH 014400</v>
      </c>
      <c r="E2600" t="str">
        <f t="shared" si="459"/>
        <v>CE</v>
      </c>
      <c r="F2600" t="s">
        <v>23</v>
      </c>
      <c r="G2600" t="s">
        <v>24</v>
      </c>
      <c r="H2600">
        <v>91.5</v>
      </c>
      <c r="I2600" t="str">
        <f>"The Basement Recovery Project"</f>
        <v>The Basement Recovery Project</v>
      </c>
      <c r="J2600" t="str">
        <f>"Rehab Private Contractors Agency And Contracted Services Substance Misuse Public Health"</f>
        <v>Rehab Private Contractors Agency And Contracted Services Substance Misuse Public Health</v>
      </c>
    </row>
    <row r="2601" spans="1:10" x14ac:dyDescent="0.35">
      <c r="A2601" t="str">
        <f t="shared" si="460"/>
        <v>MAR</v>
      </c>
      <c r="B2601" t="str">
        <f t="shared" si="457"/>
        <v>21</v>
      </c>
      <c r="C2601" t="str">
        <f t="shared" si="458"/>
        <v>2020/21</v>
      </c>
      <c r="D2601" t="str">
        <f>"CE PH 014401"</f>
        <v>CE PH 014401</v>
      </c>
      <c r="E2601" t="str">
        <f t="shared" si="459"/>
        <v>CE</v>
      </c>
      <c r="F2601" t="s">
        <v>23</v>
      </c>
      <c r="G2601" t="s">
        <v>24</v>
      </c>
      <c r="H2601">
        <v>1080</v>
      </c>
      <c r="I2601" t="str">
        <f>"The Basement Recovery Project"</f>
        <v>The Basement Recovery Project</v>
      </c>
      <c r="J2601" t="str">
        <f>"Rehab Private Contractors Agency And Contracted Services Substance Misuse Public Health"</f>
        <v>Rehab Private Contractors Agency And Contracted Services Substance Misuse Public Health</v>
      </c>
    </row>
    <row r="2602" spans="1:10" x14ac:dyDescent="0.35">
      <c r="A2602" t="str">
        <f t="shared" si="460"/>
        <v>MAR</v>
      </c>
      <c r="B2602" t="str">
        <f t="shared" si="457"/>
        <v>21</v>
      </c>
      <c r="C2602" t="str">
        <f t="shared" si="458"/>
        <v>2020/21</v>
      </c>
      <c r="D2602" t="str">
        <f>"CE PH 014401"</f>
        <v>CE PH 014401</v>
      </c>
      <c r="E2602" t="str">
        <f t="shared" si="459"/>
        <v>CE</v>
      </c>
      <c r="F2602" t="s">
        <v>23</v>
      </c>
      <c r="G2602" t="s">
        <v>24</v>
      </c>
      <c r="H2602">
        <v>91.5</v>
      </c>
      <c r="I2602" t="str">
        <f>"The Basement Recovery Project"</f>
        <v>The Basement Recovery Project</v>
      </c>
      <c r="J2602" t="str">
        <f>"Rehab Private Contractors Agency And Contracted Services Substance Misuse Public Health"</f>
        <v>Rehab Private Contractors Agency And Contracted Services Substance Misuse Public Health</v>
      </c>
    </row>
    <row r="2603" spans="1:10" x14ac:dyDescent="0.35">
      <c r="A2603" t="str">
        <f t="shared" si="460"/>
        <v>MAR</v>
      </c>
      <c r="B2603" t="str">
        <f t="shared" si="457"/>
        <v>21</v>
      </c>
      <c r="C2603" t="str">
        <f t="shared" si="458"/>
        <v>2020/21</v>
      </c>
      <c r="D2603" t="str">
        <f>"CE PH 014104"</f>
        <v>CE PH 014104</v>
      </c>
      <c r="E2603" t="str">
        <f t="shared" si="459"/>
        <v>CE</v>
      </c>
      <c r="F2603" t="s">
        <v>23</v>
      </c>
      <c r="G2603" t="s">
        <v>24</v>
      </c>
      <c r="H2603">
        <v>249204.83</v>
      </c>
      <c r="I2603" t="str">
        <f>"Humankind"</f>
        <v>Humankind</v>
      </c>
      <c r="J2603" t="str">
        <f>"Adult drug and alcohol service Private Contractors Agency And Contracted Services Substance Misuse Public Health"</f>
        <v>Adult drug and alcohol service Private Contractors Agency And Contracted Services Substance Misuse Public Health</v>
      </c>
    </row>
    <row r="2604" spans="1:10" x14ac:dyDescent="0.35">
      <c r="A2604" t="str">
        <f t="shared" si="460"/>
        <v>MAR</v>
      </c>
      <c r="B2604" t="str">
        <f t="shared" si="457"/>
        <v>21</v>
      </c>
      <c r="C2604" t="str">
        <f t="shared" si="458"/>
        <v>2020/21</v>
      </c>
      <c r="D2604" t="str">
        <f>"CE PH 014396"</f>
        <v>CE PH 014396</v>
      </c>
      <c r="E2604" t="str">
        <f t="shared" si="459"/>
        <v>CE</v>
      </c>
      <c r="F2604" t="s">
        <v>23</v>
      </c>
      <c r="G2604" t="s">
        <v>24</v>
      </c>
      <c r="H2604">
        <v>861</v>
      </c>
      <c r="I2604" t="str">
        <f>"Locala Community Partnerships CIC"</f>
        <v>Locala Community Partnerships CIC</v>
      </c>
      <c r="J2604" t="str">
        <f>"Out of area GUM Private Contractors Agency And Contracted Services Sexual Health Public Health"</f>
        <v>Out of area GUM Private Contractors Agency And Contracted Services Sexual Health Public Health</v>
      </c>
    </row>
    <row r="2605" spans="1:10" x14ac:dyDescent="0.35">
      <c r="A2605" t="str">
        <f t="shared" si="460"/>
        <v>MAR</v>
      </c>
      <c r="B2605" t="str">
        <f t="shared" si="457"/>
        <v>21</v>
      </c>
      <c r="C2605" t="str">
        <f t="shared" si="458"/>
        <v>2020/21</v>
      </c>
      <c r="D2605" t="str">
        <f>"CE PH 014395"</f>
        <v>CE PH 014395</v>
      </c>
      <c r="E2605" t="str">
        <f t="shared" si="459"/>
        <v>CE</v>
      </c>
      <c r="F2605" t="s">
        <v>23</v>
      </c>
      <c r="G2605" t="s">
        <v>24</v>
      </c>
      <c r="H2605">
        <v>948</v>
      </c>
      <c r="I2605" t="str">
        <f>"Locala Community Partnerships CIC"</f>
        <v>Locala Community Partnerships CIC</v>
      </c>
      <c r="J2605" t="str">
        <f>"Out of area GUM Private Contractors Agency And Contracted Services Sexual Health Public Health"</f>
        <v>Out of area GUM Private Contractors Agency And Contracted Services Sexual Health Public Health</v>
      </c>
    </row>
    <row r="2606" spans="1:10" x14ac:dyDescent="0.35">
      <c r="A2606" t="str">
        <f t="shared" si="460"/>
        <v>MAR</v>
      </c>
      <c r="B2606" t="str">
        <f t="shared" si="457"/>
        <v>21</v>
      </c>
      <c r="C2606" t="str">
        <f t="shared" si="458"/>
        <v>2020/21</v>
      </c>
      <c r="D2606" t="str">
        <f>"CE PH 014420"</f>
        <v>CE PH 014420</v>
      </c>
      <c r="E2606" t="str">
        <f t="shared" si="459"/>
        <v>CE</v>
      </c>
      <c r="F2606" t="s">
        <v>23</v>
      </c>
      <c r="G2606" t="s">
        <v>24</v>
      </c>
      <c r="H2606">
        <v>974</v>
      </c>
      <c r="I2606" t="str">
        <f>"Locala Community Partnerships CIC"</f>
        <v>Locala Community Partnerships CIC</v>
      </c>
      <c r="J2606" t="str">
        <f>"Out of area GUM Private Contractors Agency And Contracted Services Sexual Health Public Health"</f>
        <v>Out of area GUM Private Contractors Agency And Contracted Services Sexual Health Public Health</v>
      </c>
    </row>
    <row r="2607" spans="1:10" x14ac:dyDescent="0.35">
      <c r="A2607" t="str">
        <f t="shared" si="460"/>
        <v>MAR</v>
      </c>
      <c r="B2607" t="str">
        <f t="shared" si="457"/>
        <v>21</v>
      </c>
      <c r="C2607" t="str">
        <f t="shared" si="458"/>
        <v>2020/21</v>
      </c>
      <c r="D2607" t="str">
        <f>"CE PH 014421"</f>
        <v>CE PH 014421</v>
      </c>
      <c r="E2607" t="str">
        <f t="shared" si="459"/>
        <v>CE</v>
      </c>
      <c r="F2607" t="s">
        <v>23</v>
      </c>
      <c r="G2607" t="s">
        <v>24</v>
      </c>
      <c r="H2607">
        <v>724</v>
      </c>
      <c r="I2607" t="str">
        <f>"Locala Community Partnerships CIC"</f>
        <v>Locala Community Partnerships CIC</v>
      </c>
      <c r="J2607" t="str">
        <f>"Out of area GUM Private Contractors Agency And Contracted Services Sexual Health Public Health"</f>
        <v>Out of area GUM Private Contractors Agency And Contracted Services Sexual Health Public Health</v>
      </c>
    </row>
    <row r="2608" spans="1:10" x14ac:dyDescent="0.35">
      <c r="A2608" t="str">
        <f t="shared" si="460"/>
        <v>MAR</v>
      </c>
      <c r="B2608" t="str">
        <f t="shared" si="457"/>
        <v>21</v>
      </c>
      <c r="C2608" t="str">
        <f t="shared" si="458"/>
        <v>2020/21</v>
      </c>
      <c r="D2608" t="str">
        <f>"CE PH 014415"</f>
        <v>CE PH 014415</v>
      </c>
      <c r="E2608" t="str">
        <f t="shared" si="459"/>
        <v>CE</v>
      </c>
      <c r="F2608" t="s">
        <v>23</v>
      </c>
      <c r="G2608" t="s">
        <v>24</v>
      </c>
      <c r="H2608">
        <v>198</v>
      </c>
      <c r="I2608" t="str">
        <f>"Spectrum Community Health CIC"</f>
        <v>Spectrum Community Health CIC</v>
      </c>
      <c r="J2608" t="str">
        <f>"Out of area GUM Private Contractors Agency And Contracted Services Sexual Health Public Health"</f>
        <v>Out of area GUM Private Contractors Agency And Contracted Services Sexual Health Public Health</v>
      </c>
    </row>
    <row r="2609" spans="1:10" x14ac:dyDescent="0.35">
      <c r="A2609" t="str">
        <f t="shared" si="460"/>
        <v>MAR</v>
      </c>
      <c r="B2609" t="str">
        <f t="shared" si="457"/>
        <v>21</v>
      </c>
      <c r="C2609" t="str">
        <f t="shared" si="458"/>
        <v>2020/21</v>
      </c>
      <c r="D2609" t="str">
        <f>"CE PH 014409"</f>
        <v>CE PH 014409</v>
      </c>
      <c r="E2609" t="str">
        <f t="shared" si="459"/>
        <v>CE</v>
      </c>
      <c r="F2609" t="s">
        <v>23</v>
      </c>
      <c r="G2609" t="s">
        <v>24</v>
      </c>
      <c r="H2609">
        <v>3263.98</v>
      </c>
      <c r="I2609" t="str">
        <f>"Locala Community Partnerships CIC"</f>
        <v>Locala Community Partnerships CIC</v>
      </c>
      <c r="J2609" t="str">
        <f>"IPC Miscellaneous Expenses Supplies And Services COVID19 - outbreak management Public Health"</f>
        <v>IPC Miscellaneous Expenses Supplies And Services COVID19 - outbreak management Public Health</v>
      </c>
    </row>
    <row r="2610" spans="1:10" x14ac:dyDescent="0.35">
      <c r="A2610" t="str">
        <f t="shared" si="460"/>
        <v>MAR</v>
      </c>
      <c r="B2610" t="str">
        <f t="shared" si="457"/>
        <v>21</v>
      </c>
      <c r="C2610" t="str">
        <f t="shared" si="458"/>
        <v>2020/21</v>
      </c>
      <c r="D2610" t="str">
        <f>"CE PH 014423"</f>
        <v>CE PH 014423</v>
      </c>
      <c r="E2610" t="str">
        <f t="shared" si="459"/>
        <v>CE</v>
      </c>
      <c r="F2610" t="s">
        <v>23</v>
      </c>
      <c r="G2610" t="s">
        <v>24</v>
      </c>
      <c r="H2610">
        <v>8002.74</v>
      </c>
      <c r="I2610" t="str">
        <f>"Locala Community Partnerships CIC"</f>
        <v>Locala Community Partnerships CIC</v>
      </c>
      <c r="J2610" t="str">
        <f>"Locala contract Private Contractors Agency And Contracted Services COVID19 - outbreak management Public Health"</f>
        <v>Locala contract Private Contractors Agency And Contracted Services COVID19 - outbreak management Public Health</v>
      </c>
    </row>
    <row r="2611" spans="1:10" x14ac:dyDescent="0.35">
      <c r="A2611" t="str">
        <f t="shared" si="460"/>
        <v>MAR</v>
      </c>
      <c r="B2611" t="str">
        <f t="shared" ref="B2611:B2674" si="462">"21"</f>
        <v>21</v>
      </c>
      <c r="C2611" t="str">
        <f t="shared" si="458"/>
        <v>2020/21</v>
      </c>
      <c r="D2611" t="str">
        <f>"CE PH 014116"</f>
        <v>CE PH 014116</v>
      </c>
      <c r="E2611" t="str">
        <f t="shared" si="459"/>
        <v>CE</v>
      </c>
      <c r="F2611" t="s">
        <v>23</v>
      </c>
      <c r="G2611" t="s">
        <v>24</v>
      </c>
      <c r="H2611">
        <v>296959.92</v>
      </c>
      <c r="I2611" t="str">
        <f>"Locala Community Partnerships CIC"</f>
        <v>Locala Community Partnerships CIC</v>
      </c>
      <c r="J2611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2612" spans="1:10" x14ac:dyDescent="0.35">
      <c r="A2612" t="str">
        <f t="shared" si="460"/>
        <v>MAR</v>
      </c>
      <c r="B2612" t="str">
        <f t="shared" si="462"/>
        <v>21</v>
      </c>
      <c r="C2612" t="str">
        <f t="shared" si="458"/>
        <v>2020/21</v>
      </c>
      <c r="D2612" t="str">
        <f>"CE PH 014394"</f>
        <v>CE PH 014394</v>
      </c>
      <c r="E2612" t="str">
        <f t="shared" si="459"/>
        <v>CE</v>
      </c>
      <c r="F2612" t="s">
        <v>23</v>
      </c>
      <c r="G2612" t="s">
        <v>24</v>
      </c>
      <c r="H2612">
        <v>31180.799999999999</v>
      </c>
      <c r="I2612" t="str">
        <f>"Locala Community Partnerships CIC"</f>
        <v>Locala Community Partnerships CIC</v>
      </c>
      <c r="J2612" t="str">
        <f>"Health visiting &amp; Family Nurse Partnership Private Contractors Agency And Contracted Services Children / Young People's Public Health (incl 0-5)"</f>
        <v>Health visiting &amp; Family Nurse Partnership Private Contractors Agency And Contracted Services Children / Young People's Public Health (incl 0-5)</v>
      </c>
    </row>
    <row r="2613" spans="1:10" x14ac:dyDescent="0.35">
      <c r="A2613" t="str">
        <f t="shared" si="460"/>
        <v>MAR</v>
      </c>
      <c r="B2613" t="str">
        <f t="shared" si="462"/>
        <v>21</v>
      </c>
      <c r="C2613" t="str">
        <f t="shared" si="458"/>
        <v>2020/21</v>
      </c>
      <c r="D2613" t="str">
        <f>"CE PH 014112"</f>
        <v>CE PH 014112</v>
      </c>
      <c r="E2613" t="str">
        <f t="shared" si="459"/>
        <v>CE</v>
      </c>
      <c r="F2613" t="s">
        <v>23</v>
      </c>
      <c r="G2613" t="s">
        <v>24</v>
      </c>
      <c r="H2613">
        <v>163520.75</v>
      </c>
      <c r="I2613" t="str">
        <f>"Locala Community Partnerships CIC"</f>
        <v>Locala Community Partnerships CIC</v>
      </c>
      <c r="J2613" t="str">
        <f>"School nursing Private Contractors Agency And Contracted Services Children / Young People's Public Health (incl 0-5) Public Health"</f>
        <v>School nursing Private Contractors Agency And Contracted Services Children / Young People's Public Health (incl 0-5) Public Health</v>
      </c>
    </row>
    <row r="2614" spans="1:10" x14ac:dyDescent="0.35">
      <c r="A2614" t="str">
        <f t="shared" si="460"/>
        <v>MAR</v>
      </c>
      <c r="B2614" t="str">
        <f t="shared" si="462"/>
        <v>21</v>
      </c>
      <c r="C2614" t="str">
        <f t="shared" si="458"/>
        <v>2020/21</v>
      </c>
      <c r="D2614" t="str">
        <f>"CE PH 014096"</f>
        <v>CE PH 014096</v>
      </c>
      <c r="E2614" t="str">
        <f t="shared" si="459"/>
        <v>CE</v>
      </c>
      <c r="F2614" t="s">
        <v>23</v>
      </c>
      <c r="G2614" t="s">
        <v>24</v>
      </c>
      <c r="H2614">
        <v>22682</v>
      </c>
      <c r="I2614" t="str">
        <f>"Humankind"</f>
        <v>Humankind</v>
      </c>
      <c r="J2614" t="str">
        <f>"CYP drugs and alcohol service Private Contractors Agency And Contracted Services Children / Young People's Public Health (incl 0-5) Public Healt"</f>
        <v>CYP drugs and alcohol service Private Contractors Agency And Contracted Services Children / Young People's Public Health (incl 0-5) Public Healt</v>
      </c>
    </row>
    <row r="2615" spans="1:10" x14ac:dyDescent="0.35">
      <c r="A2615" t="str">
        <f t="shared" si="460"/>
        <v>MAR</v>
      </c>
      <c r="B2615" t="str">
        <f t="shared" si="462"/>
        <v>21</v>
      </c>
      <c r="C2615" t="str">
        <f t="shared" si="458"/>
        <v>2020/21</v>
      </c>
      <c r="D2615" t="str">
        <f>"SS FD 113786"</f>
        <v>SS FD 113786</v>
      </c>
      <c r="E2615" t="str">
        <f t="shared" si="459"/>
        <v>SS</v>
      </c>
      <c r="F2615" t="s">
        <v>25</v>
      </c>
      <c r="G2615" t="s">
        <v>22</v>
      </c>
      <c r="H2615">
        <v>1394.96</v>
      </c>
      <c r="I2615" t="str">
        <f>"Helping Hands (HX)"</f>
        <v>Helping Hands (HX)</v>
      </c>
      <c r="J2615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2616" spans="1:10" x14ac:dyDescent="0.35">
      <c r="A2616" t="str">
        <f t="shared" si="460"/>
        <v>MAR</v>
      </c>
      <c r="B2616" t="str">
        <f t="shared" si="462"/>
        <v>21</v>
      </c>
      <c r="C2616" t="str">
        <f t="shared" si="458"/>
        <v>2020/21</v>
      </c>
      <c r="D2616" t="str">
        <f>"SS FD 113790"</f>
        <v>SS FD 113790</v>
      </c>
      <c r="E2616" t="str">
        <f t="shared" si="459"/>
        <v>SS</v>
      </c>
      <c r="F2616" t="s">
        <v>25</v>
      </c>
      <c r="G2616" t="s">
        <v>22</v>
      </c>
      <c r="H2616">
        <v>3895.71</v>
      </c>
      <c r="I2616" t="str">
        <f>"The Hive (Halifax) Ltd"</f>
        <v>The Hive (Halifax) Ltd</v>
      </c>
      <c r="J2616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2617" spans="1:10" x14ac:dyDescent="0.35">
      <c r="A2617" t="str">
        <f t="shared" si="460"/>
        <v>MAR</v>
      </c>
      <c r="B2617" t="str">
        <f t="shared" si="462"/>
        <v>21</v>
      </c>
      <c r="C2617" t="str">
        <f t="shared" si="458"/>
        <v>2020/21</v>
      </c>
      <c r="D2617" t="str">
        <f>"SS FD 113780"</f>
        <v>SS FD 113780</v>
      </c>
      <c r="E2617" t="str">
        <f t="shared" si="459"/>
        <v>SS</v>
      </c>
      <c r="F2617" t="s">
        <v>25</v>
      </c>
      <c r="G2617" t="s">
        <v>22</v>
      </c>
      <c r="H2617">
        <v>83526.06</v>
      </c>
      <c r="I2617" t="str">
        <f>"The Next Step Trust"</f>
        <v>The Next Step Trust</v>
      </c>
      <c r="J2617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2618" spans="1:10" x14ac:dyDescent="0.35">
      <c r="A2618" t="str">
        <f t="shared" si="460"/>
        <v>MAR</v>
      </c>
      <c r="B2618" t="str">
        <f t="shared" si="462"/>
        <v>21</v>
      </c>
      <c r="C2618" t="str">
        <f t="shared" si="458"/>
        <v>2020/21</v>
      </c>
      <c r="D2618" t="str">
        <f>"SS FD 113789"</f>
        <v>SS FD 113789</v>
      </c>
      <c r="E2618" t="str">
        <f t="shared" si="459"/>
        <v>SS</v>
      </c>
      <c r="F2618" t="s">
        <v>25</v>
      </c>
      <c r="G2618" t="s">
        <v>22</v>
      </c>
      <c r="H2618">
        <v>27667.75</v>
      </c>
      <c r="I2618" t="str">
        <f>"Pennine Magpie"</f>
        <v>Pennine Magpie</v>
      </c>
      <c r="J2618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2619" spans="1:10" x14ac:dyDescent="0.35">
      <c r="A2619" t="str">
        <f t="shared" si="460"/>
        <v>MAR</v>
      </c>
      <c r="B2619" t="str">
        <f t="shared" si="462"/>
        <v>21</v>
      </c>
      <c r="C2619" t="str">
        <f t="shared" si="458"/>
        <v>2020/21</v>
      </c>
      <c r="D2619" t="str">
        <f>"SS FD 113789"</f>
        <v>SS FD 113789</v>
      </c>
      <c r="E2619" t="str">
        <f t="shared" si="459"/>
        <v>SS</v>
      </c>
      <c r="F2619" t="s">
        <v>25</v>
      </c>
      <c r="G2619" t="s">
        <v>22</v>
      </c>
      <c r="H2619">
        <v>26908.82</v>
      </c>
      <c r="I2619" t="str">
        <f>"Pennine Magpie"</f>
        <v>Pennine Magpie</v>
      </c>
      <c r="J2619" t="str">
        <f>"Flexible Day Care - Voluntary Associations Voluntary Associations Agency And Contracted Services Purchased Day Opportunities Learning Disabiliti"</f>
        <v>Flexible Day Care - Voluntary Associations Voluntary Associations Agency And Contracted Services Purchased Day Opportunities Learning Disabiliti</v>
      </c>
    </row>
    <row r="2620" spans="1:10" x14ac:dyDescent="0.35">
      <c r="A2620" t="str">
        <f t="shared" si="460"/>
        <v>MAR</v>
      </c>
      <c r="B2620" t="str">
        <f t="shared" si="462"/>
        <v>21</v>
      </c>
      <c r="C2620" t="str">
        <f t="shared" si="458"/>
        <v>2020/21</v>
      </c>
      <c r="D2620" t="str">
        <f>"SS FD 114303"</f>
        <v>SS FD 114303</v>
      </c>
      <c r="E2620" t="str">
        <f t="shared" si="459"/>
        <v>SS</v>
      </c>
      <c r="F2620" t="s">
        <v>25</v>
      </c>
      <c r="G2620" t="s">
        <v>22</v>
      </c>
      <c r="H2620">
        <v>468.48</v>
      </c>
      <c r="I2620" t="str">
        <f>"The Mayfield Trust"</f>
        <v>The Mayfield Trust</v>
      </c>
      <c r="J2620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2621" spans="1:10" x14ac:dyDescent="0.35">
      <c r="A2621" t="str">
        <f t="shared" si="460"/>
        <v>MAR</v>
      </c>
      <c r="B2621" t="str">
        <f t="shared" si="462"/>
        <v>21</v>
      </c>
      <c r="C2621" t="str">
        <f t="shared" si="458"/>
        <v>2020/21</v>
      </c>
      <c r="D2621" t="str">
        <f>"SS FD 114303"</f>
        <v>SS FD 114303</v>
      </c>
      <c r="E2621" t="str">
        <f t="shared" si="459"/>
        <v>SS</v>
      </c>
      <c r="F2621" t="s">
        <v>25</v>
      </c>
      <c r="G2621" t="s">
        <v>22</v>
      </c>
      <c r="H2621">
        <v>663.06</v>
      </c>
      <c r="I2621" t="str">
        <f>"The Mayfield Trust"</f>
        <v>The Mayfield Trust</v>
      </c>
      <c r="J2621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2622" spans="1:10" x14ac:dyDescent="0.35">
      <c r="A2622" t="str">
        <f t="shared" si="460"/>
        <v>MAR</v>
      </c>
      <c r="B2622" t="str">
        <f t="shared" si="462"/>
        <v>21</v>
      </c>
      <c r="C2622" t="str">
        <f t="shared" si="458"/>
        <v>2020/21</v>
      </c>
      <c r="D2622" t="str">
        <f>"SS FD 114303"</f>
        <v>SS FD 114303</v>
      </c>
      <c r="E2622" t="str">
        <f t="shared" si="459"/>
        <v>SS</v>
      </c>
      <c r="F2622" t="s">
        <v>25</v>
      </c>
      <c r="G2622" t="s">
        <v>22</v>
      </c>
      <c r="H2622">
        <v>585.6</v>
      </c>
      <c r="I2622" t="str">
        <f>"The Mayfield Trust"</f>
        <v>The Mayfield Trust</v>
      </c>
      <c r="J2622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2623" spans="1:10" x14ac:dyDescent="0.35">
      <c r="A2623" t="str">
        <f t="shared" si="460"/>
        <v>MAR</v>
      </c>
      <c r="B2623" t="str">
        <f t="shared" si="462"/>
        <v>21</v>
      </c>
      <c r="C2623" t="str">
        <f t="shared" si="458"/>
        <v>2020/21</v>
      </c>
      <c r="D2623" t="str">
        <f>"SS FD 114303"</f>
        <v>SS FD 114303</v>
      </c>
      <c r="E2623" t="str">
        <f t="shared" si="459"/>
        <v>SS</v>
      </c>
      <c r="F2623" t="s">
        <v>25</v>
      </c>
      <c r="G2623" t="s">
        <v>22</v>
      </c>
      <c r="H2623">
        <v>30773.82</v>
      </c>
      <c r="I2623" t="str">
        <f>"The Mayfield Trust"</f>
        <v>The Mayfield Trust</v>
      </c>
      <c r="J2623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2624" spans="1:10" x14ac:dyDescent="0.35">
      <c r="A2624" t="str">
        <f t="shared" si="460"/>
        <v>MAR</v>
      </c>
      <c r="B2624" t="str">
        <f t="shared" si="462"/>
        <v>21</v>
      </c>
      <c r="C2624" t="str">
        <f t="shared" si="458"/>
        <v>2020/21</v>
      </c>
      <c r="D2624" t="str">
        <f>"SS FD 114303"</f>
        <v>SS FD 114303</v>
      </c>
      <c r="E2624" t="str">
        <f t="shared" si="459"/>
        <v>SS</v>
      </c>
      <c r="F2624" t="s">
        <v>25</v>
      </c>
      <c r="G2624" t="s">
        <v>22</v>
      </c>
      <c r="H2624">
        <v>8011.98</v>
      </c>
      <c r="I2624" t="str">
        <f>"The Mayfield Trust"</f>
        <v>The Mayfield Trust</v>
      </c>
      <c r="J2624" t="str">
        <f>"Outreach - Voluntary Associations Voluntary Associations Agency And Contracted Services Purchased Day Opportunities Learning Disabilities Adult"</f>
        <v>Outreach - Voluntary Associations Voluntary Associations Agency And Contracted Services Purchased Day Opportunities Learning Disabilities Adult</v>
      </c>
    </row>
    <row r="2625" spans="1:10" x14ac:dyDescent="0.35">
      <c r="A2625" t="str">
        <f t="shared" si="460"/>
        <v>MAR</v>
      </c>
      <c r="B2625" t="str">
        <f t="shared" si="462"/>
        <v>21</v>
      </c>
      <c r="C2625" t="str">
        <f t="shared" si="458"/>
        <v>2020/21</v>
      </c>
      <c r="D2625" t="str">
        <f>"SS RE 117506"</f>
        <v>SS RE 117506</v>
      </c>
      <c r="E2625" t="str">
        <f t="shared" si="459"/>
        <v>SS</v>
      </c>
      <c r="F2625" t="s">
        <v>25</v>
      </c>
      <c r="G2625" t="s">
        <v>22</v>
      </c>
      <c r="H2625">
        <v>115.4</v>
      </c>
      <c r="I2625" t="str">
        <f>"Community Transport Calderdale Ltd"</f>
        <v>Community Transport Calderdale Ltd</v>
      </c>
      <c r="J2625" t="str">
        <f>"Equipment Materials &amp; Tools General Equipment Furniture And Materials Supplies And Services Shared Lives Adult Health &amp; Social Care"</f>
        <v>Equipment Materials &amp; Tools General Equipment Furniture And Materials Supplies And Services Shared Lives Adult Health &amp; Social Care</v>
      </c>
    </row>
    <row r="2626" spans="1:10" x14ac:dyDescent="0.35">
      <c r="A2626" t="str">
        <f t="shared" si="460"/>
        <v>MAR</v>
      </c>
      <c r="B2626" t="str">
        <f t="shared" si="462"/>
        <v>21</v>
      </c>
      <c r="C2626" t="str">
        <f t="shared" ref="C2626:C2689" si="463">"2020/21"</f>
        <v>2020/21</v>
      </c>
      <c r="D2626" t="str">
        <f>"HS TA 017128"</f>
        <v>HS TA 017128</v>
      </c>
      <c r="E2626" t="str">
        <f t="shared" ref="E2626:E2689" si="464">LEFT(D2626,2)</f>
        <v>HS</v>
      </c>
      <c r="F2626" t="s">
        <v>26</v>
      </c>
      <c r="G2626" t="s">
        <v>18</v>
      </c>
      <c r="H2626">
        <v>3404.5</v>
      </c>
      <c r="I2626" t="str">
        <f>"Christians Together Calderdale"</f>
        <v>Christians Together Calderdale</v>
      </c>
      <c r="J2626" t="str">
        <f>"Gathering Place Hub Grants And Subscriptions Supplies And Services Homelessness Additional Provision due to COVID-19 Housing Services"</f>
        <v>Gathering Place Hub Grants And Subscriptions Supplies And Services Homelessness Additional Provision due to COVID-19 Housing Services</v>
      </c>
    </row>
    <row r="2627" spans="1:10" x14ac:dyDescent="0.35">
      <c r="A2627" t="str">
        <f t="shared" si="460"/>
        <v>MAR</v>
      </c>
      <c r="B2627" t="str">
        <f t="shared" si="462"/>
        <v>21</v>
      </c>
      <c r="C2627" t="str">
        <f t="shared" si="463"/>
        <v>2020/21</v>
      </c>
      <c r="D2627" t="str">
        <f>"HS TA 016870"</f>
        <v>HS TA 016870</v>
      </c>
      <c r="E2627" t="str">
        <f t="shared" si="464"/>
        <v>HS</v>
      </c>
      <c r="F2627" t="s">
        <v>26</v>
      </c>
      <c r="G2627" t="s">
        <v>18</v>
      </c>
      <c r="H2627">
        <v>110</v>
      </c>
      <c r="I2627" t="str">
        <f t="shared" ref="I2627:I2632" si="465">"Sure Start North Halifax"</f>
        <v>Sure Start North Halifax</v>
      </c>
      <c r="J2627" t="str">
        <f t="shared" ref="J2627:J2632" si="466">"Childcare expenses Equipment Furniture And Materials Supplies And Services Syrian settlement account Housing Services"</f>
        <v>Childcare expenses Equipment Furniture And Materials Supplies And Services Syrian settlement account Housing Services</v>
      </c>
    </row>
    <row r="2628" spans="1:10" x14ac:dyDescent="0.35">
      <c r="A2628" t="str">
        <f t="shared" si="460"/>
        <v>MAR</v>
      </c>
      <c r="B2628" t="str">
        <f t="shared" si="462"/>
        <v>21</v>
      </c>
      <c r="C2628" t="str">
        <f t="shared" si="463"/>
        <v>2020/21</v>
      </c>
      <c r="D2628" t="str">
        <f>"HS TA 016869"</f>
        <v>HS TA 016869</v>
      </c>
      <c r="E2628" t="str">
        <f t="shared" si="464"/>
        <v>HS</v>
      </c>
      <c r="F2628" t="s">
        <v>26</v>
      </c>
      <c r="G2628" t="s">
        <v>18</v>
      </c>
      <c r="H2628">
        <v>137.5</v>
      </c>
      <c r="I2628" t="str">
        <f t="shared" si="465"/>
        <v>Sure Start North Halifax</v>
      </c>
      <c r="J2628" t="str">
        <f t="shared" si="466"/>
        <v>Childcare expenses Equipment Furniture And Materials Supplies And Services Syrian settlement account Housing Services</v>
      </c>
    </row>
    <row r="2629" spans="1:10" x14ac:dyDescent="0.35">
      <c r="A2629" t="str">
        <f t="shared" si="460"/>
        <v>MAR</v>
      </c>
      <c r="B2629" t="str">
        <f t="shared" si="462"/>
        <v>21</v>
      </c>
      <c r="C2629" t="str">
        <f t="shared" si="463"/>
        <v>2020/21</v>
      </c>
      <c r="D2629" t="str">
        <f>"HS TA 016872"</f>
        <v>HS TA 016872</v>
      </c>
      <c r="E2629" t="str">
        <f t="shared" si="464"/>
        <v>HS</v>
      </c>
      <c r="F2629" t="s">
        <v>26</v>
      </c>
      <c r="G2629" t="s">
        <v>18</v>
      </c>
      <c r="H2629">
        <v>302.5</v>
      </c>
      <c r="I2629" t="str">
        <f t="shared" si="465"/>
        <v>Sure Start North Halifax</v>
      </c>
      <c r="J2629" t="str">
        <f t="shared" si="466"/>
        <v>Childcare expenses Equipment Furniture And Materials Supplies And Services Syrian settlement account Housing Services</v>
      </c>
    </row>
    <row r="2630" spans="1:10" x14ac:dyDescent="0.35">
      <c r="A2630" t="str">
        <f t="shared" si="460"/>
        <v>MAR</v>
      </c>
      <c r="B2630" t="str">
        <f t="shared" si="462"/>
        <v>21</v>
      </c>
      <c r="C2630" t="str">
        <f t="shared" si="463"/>
        <v>2020/21</v>
      </c>
      <c r="D2630" t="str">
        <f>"HS TA 016872"</f>
        <v>HS TA 016872</v>
      </c>
      <c r="E2630" t="str">
        <f t="shared" si="464"/>
        <v>HS</v>
      </c>
      <c r="F2630" t="s">
        <v>26</v>
      </c>
      <c r="G2630" t="s">
        <v>18</v>
      </c>
      <c r="H2630">
        <v>220</v>
      </c>
      <c r="I2630" t="str">
        <f t="shared" si="465"/>
        <v>Sure Start North Halifax</v>
      </c>
      <c r="J2630" t="str">
        <f t="shared" si="466"/>
        <v>Childcare expenses Equipment Furniture And Materials Supplies And Services Syrian settlement account Housing Services</v>
      </c>
    </row>
    <row r="2631" spans="1:10" x14ac:dyDescent="0.35">
      <c r="A2631" t="str">
        <f t="shared" si="460"/>
        <v>MAR</v>
      </c>
      <c r="B2631" t="str">
        <f t="shared" si="462"/>
        <v>21</v>
      </c>
      <c r="C2631" t="str">
        <f t="shared" si="463"/>
        <v>2020/21</v>
      </c>
      <c r="D2631" t="str">
        <f>"HS TA 016871"</f>
        <v>HS TA 016871</v>
      </c>
      <c r="E2631" t="str">
        <f t="shared" si="464"/>
        <v>HS</v>
      </c>
      <c r="F2631" t="s">
        <v>26</v>
      </c>
      <c r="G2631" t="s">
        <v>18</v>
      </c>
      <c r="H2631">
        <v>522.5</v>
      </c>
      <c r="I2631" t="str">
        <f t="shared" si="465"/>
        <v>Sure Start North Halifax</v>
      </c>
      <c r="J2631" t="str">
        <f t="shared" si="466"/>
        <v>Childcare expenses Equipment Furniture And Materials Supplies And Services Syrian settlement account Housing Services</v>
      </c>
    </row>
    <row r="2632" spans="1:10" x14ac:dyDescent="0.35">
      <c r="A2632" t="str">
        <f t="shared" si="460"/>
        <v>MAR</v>
      </c>
      <c r="B2632" t="str">
        <f t="shared" si="462"/>
        <v>21</v>
      </c>
      <c r="C2632" t="str">
        <f t="shared" si="463"/>
        <v>2020/21</v>
      </c>
      <c r="D2632" t="str">
        <f>"HS TA 016868"</f>
        <v>HS TA 016868</v>
      </c>
      <c r="E2632" t="str">
        <f t="shared" si="464"/>
        <v>HS</v>
      </c>
      <c r="F2632" t="s">
        <v>26</v>
      </c>
      <c r="G2632" t="s">
        <v>18</v>
      </c>
      <c r="H2632">
        <v>522.5</v>
      </c>
      <c r="I2632" t="str">
        <f t="shared" si="465"/>
        <v>Sure Start North Halifax</v>
      </c>
      <c r="J2632" t="str">
        <f t="shared" si="466"/>
        <v>Childcare expenses Equipment Furniture And Materials Supplies And Services Syrian settlement account Housing Services</v>
      </c>
    </row>
    <row r="2633" spans="1:10" x14ac:dyDescent="0.35">
      <c r="A2633" t="str">
        <f t="shared" si="460"/>
        <v>MAR</v>
      </c>
      <c r="B2633" t="str">
        <f t="shared" si="462"/>
        <v>21</v>
      </c>
      <c r="C2633" t="str">
        <f t="shared" si="463"/>
        <v>2020/21</v>
      </c>
      <c r="D2633" t="str">
        <f>"EG SL 066413"</f>
        <v>EG SL 066413</v>
      </c>
      <c r="E2633" t="str">
        <f t="shared" si="464"/>
        <v>EG</v>
      </c>
      <c r="F2633" t="s">
        <v>28</v>
      </c>
      <c r="G2633" t="s">
        <v>18</v>
      </c>
      <c r="H2633">
        <v>100</v>
      </c>
      <c r="I2633" t="str">
        <f>"Canal &amp; River Trust (British Waterways)"</f>
        <v>Canal &amp; River Trust (British Waterways)</v>
      </c>
      <c r="J2633" t="str">
        <f>"Miscellaneous Contractors Private Contractors Agency And Contracted Services Street Lighting Repairs &amp; Maintenance - H/way Work Highways and Eng"</f>
        <v>Miscellaneous Contractors Private Contractors Agency And Contracted Services Street Lighting Repairs &amp; Maintenance - H/way Work Highways and Eng</v>
      </c>
    </row>
    <row r="2634" spans="1:10" x14ac:dyDescent="0.35">
      <c r="A2634" t="str">
        <f t="shared" ref="A2634:A2697" si="467">"MAR"</f>
        <v>MAR</v>
      </c>
      <c r="B2634" t="str">
        <f t="shared" si="462"/>
        <v>21</v>
      </c>
      <c r="C2634" t="str">
        <f t="shared" si="463"/>
        <v>2020/21</v>
      </c>
      <c r="D2634" t="str">
        <f>"EG FR 066034"</f>
        <v>EG FR 066034</v>
      </c>
      <c r="E2634" t="str">
        <f t="shared" si="464"/>
        <v>EG</v>
      </c>
      <c r="F2634" t="s">
        <v>28</v>
      </c>
      <c r="G2634" t="s">
        <v>18</v>
      </c>
      <c r="H2634">
        <v>2237</v>
      </c>
      <c r="I2634" t="str">
        <f>"Hebden Bridge Flood Action Group"</f>
        <v>Hebden Bridge Flood Action Group</v>
      </c>
      <c r="J2634" t="str">
        <f>"Flood Groups &amp; Supplies Services Supplies And Services LLFA Works Budgets Highways and Engineering Services"</f>
        <v>Flood Groups &amp; Supplies Services Supplies And Services LLFA Works Budgets Highways and Engineering Services</v>
      </c>
    </row>
    <row r="2635" spans="1:10" x14ac:dyDescent="0.35">
      <c r="A2635" t="str">
        <f t="shared" si="467"/>
        <v>MAR</v>
      </c>
      <c r="B2635" t="str">
        <f t="shared" si="462"/>
        <v>21</v>
      </c>
      <c r="C2635" t="str">
        <f t="shared" si="463"/>
        <v>2020/21</v>
      </c>
      <c r="D2635" t="str">
        <f>"EG FR 066034"</f>
        <v>EG FR 066034</v>
      </c>
      <c r="E2635" t="str">
        <f t="shared" si="464"/>
        <v>EG</v>
      </c>
      <c r="F2635" t="s">
        <v>28</v>
      </c>
      <c r="G2635" t="s">
        <v>18</v>
      </c>
      <c r="H2635">
        <v>25</v>
      </c>
      <c r="I2635" t="str">
        <f>"Hebden Bridge Flood Action Group"</f>
        <v>Hebden Bridge Flood Action Group</v>
      </c>
      <c r="J2635" t="str">
        <f>"Flood Groups &amp; Supplies Services Supplies And Services LLFA Works Budgets Highways and Engineering Services"</f>
        <v>Flood Groups &amp; Supplies Services Supplies And Services LLFA Works Budgets Highways and Engineering Services</v>
      </c>
    </row>
    <row r="2636" spans="1:10" x14ac:dyDescent="0.35">
      <c r="A2636" t="str">
        <f t="shared" si="467"/>
        <v>MAR</v>
      </c>
      <c r="B2636" t="str">
        <f t="shared" si="462"/>
        <v>21</v>
      </c>
      <c r="C2636" t="str">
        <f t="shared" si="463"/>
        <v>2020/21</v>
      </c>
      <c r="D2636" t="str">
        <f>"SC LA 219060"</f>
        <v>SC LA 219060</v>
      </c>
      <c r="E2636" t="str">
        <f t="shared" si="464"/>
        <v>SC</v>
      </c>
      <c r="F2636" t="s">
        <v>29</v>
      </c>
      <c r="G2636" t="s">
        <v>30</v>
      </c>
      <c r="H2636">
        <v>3000</v>
      </c>
      <c r="I2636" t="str">
        <f>"Calderdale Music Trust Ltd"</f>
        <v>Calderdale Music Trust Ltd</v>
      </c>
      <c r="J2636" t="str">
        <f>"Standards Fund grant devolved to schools Government Grants Income Government Grant Holding A/C Children and Young People's Serv - Central Depts."</f>
        <v>Standards Fund grant devolved to schools Government Grants Income Government Grant Holding A/C Children and Young People's Serv - Central Depts.</v>
      </c>
    </row>
    <row r="2637" spans="1:10" x14ac:dyDescent="0.35">
      <c r="A2637" t="str">
        <f t="shared" si="467"/>
        <v>MAR</v>
      </c>
      <c r="B2637" t="str">
        <f t="shared" si="462"/>
        <v>21</v>
      </c>
      <c r="C2637" t="str">
        <f t="shared" si="463"/>
        <v>2020/21</v>
      </c>
      <c r="D2637" t="str">
        <f>"SC LA 219064"</f>
        <v>SC LA 219064</v>
      </c>
      <c r="E2637" t="str">
        <f t="shared" si="464"/>
        <v>SC</v>
      </c>
      <c r="F2637" t="s">
        <v>29</v>
      </c>
      <c r="G2637" t="s">
        <v>30</v>
      </c>
      <c r="H2637">
        <v>3000</v>
      </c>
      <c r="I2637" t="str">
        <f>"Calderdale Music Trust Ltd"</f>
        <v>Calderdale Music Trust Ltd</v>
      </c>
      <c r="J2637" t="str">
        <f>"Standards Fund grant devolved to schools Government Grants Income Government Grant Holding A/C Children and Young People's Serv - Central Depts."</f>
        <v>Standards Fund grant devolved to schools Government Grants Income Government Grant Holding A/C Children and Young People's Serv - Central Depts.</v>
      </c>
    </row>
    <row r="2638" spans="1:10" x14ac:dyDescent="0.35">
      <c r="A2638" t="str">
        <f t="shared" si="467"/>
        <v>MAR</v>
      </c>
      <c r="B2638" t="str">
        <f t="shared" si="462"/>
        <v>21</v>
      </c>
      <c r="C2638" t="str">
        <f t="shared" si="463"/>
        <v>2020/21</v>
      </c>
      <c r="D2638" t="str">
        <f>"SC LA 218563"</f>
        <v>SC LA 218563</v>
      </c>
      <c r="E2638" t="str">
        <f t="shared" si="464"/>
        <v>SC</v>
      </c>
      <c r="F2638" t="s">
        <v>29</v>
      </c>
      <c r="G2638" t="s">
        <v>30</v>
      </c>
      <c r="H2638">
        <v>930</v>
      </c>
      <c r="I2638" t="str">
        <f>"Handmade Parade CIC"</f>
        <v>Handmade Parade CIC</v>
      </c>
      <c r="J2638" t="str">
        <f>"Standards Fund grant devolved to schools Government Grants Income Government Grant Holding A/C Children and Young People's Serv - Central Depts."</f>
        <v>Standards Fund grant devolved to schools Government Grants Income Government Grant Holding A/C Children and Young People's Serv - Central Depts.</v>
      </c>
    </row>
    <row r="2639" spans="1:10" x14ac:dyDescent="0.35">
      <c r="A2639" t="str">
        <f t="shared" si="467"/>
        <v>MAR</v>
      </c>
      <c r="B2639" t="str">
        <f t="shared" si="462"/>
        <v>21</v>
      </c>
      <c r="C2639" t="str">
        <f t="shared" si="463"/>
        <v>2020/21</v>
      </c>
      <c r="D2639" t="str">
        <f>"SC LA 218600"</f>
        <v>SC LA 218600</v>
      </c>
      <c r="E2639" t="str">
        <f t="shared" si="464"/>
        <v>SC</v>
      </c>
      <c r="F2639" t="s">
        <v>29</v>
      </c>
      <c r="G2639" t="s">
        <v>30</v>
      </c>
      <c r="H2639">
        <v>190</v>
      </c>
      <c r="I2639" t="str">
        <f t="shared" ref="I2639:I2645" si="468">"Seashell Trust"</f>
        <v>Seashell Trust</v>
      </c>
      <c r="J2639" t="str">
        <f>"Standards Fund grant devolved to schools Government Grants Income Government Grant Holding A/C Children and Young People's Serv - Central Depts."</f>
        <v>Standards Fund grant devolved to schools Government Grants Income Government Grant Holding A/C Children and Young People's Serv - Central Depts.</v>
      </c>
    </row>
    <row r="2640" spans="1:10" x14ac:dyDescent="0.35">
      <c r="A2640" t="str">
        <f t="shared" si="467"/>
        <v>MAR</v>
      </c>
      <c r="B2640" t="str">
        <f t="shared" si="462"/>
        <v>21</v>
      </c>
      <c r="C2640" t="str">
        <f t="shared" si="463"/>
        <v>2020/21</v>
      </c>
      <c r="D2640" t="str">
        <f>"SC SU 218807"</f>
        <v>SC SU 218807</v>
      </c>
      <c r="E2640" t="str">
        <f t="shared" si="464"/>
        <v>SC</v>
      </c>
      <c r="F2640" t="s">
        <v>29</v>
      </c>
      <c r="G2640" t="s">
        <v>30</v>
      </c>
      <c r="H2640">
        <v>190</v>
      </c>
      <c r="I2640" t="str">
        <f t="shared" si="468"/>
        <v>Seashell Trust</v>
      </c>
      <c r="J2640" t="str">
        <f>"Early Years resources Equipment Furniture And Materials Supplies And Services Specialist Inclusion Service (DSG) Children and Young People's Ser"</f>
        <v>Early Years resources Equipment Furniture And Materials Supplies And Services Specialist Inclusion Service (DSG) Children and Young People's Ser</v>
      </c>
    </row>
    <row r="2641" spans="1:10" x14ac:dyDescent="0.35">
      <c r="A2641" t="str">
        <f t="shared" si="467"/>
        <v>MAR</v>
      </c>
      <c r="B2641" t="str">
        <f t="shared" si="462"/>
        <v>21</v>
      </c>
      <c r="C2641" t="str">
        <f t="shared" si="463"/>
        <v>2020/21</v>
      </c>
      <c r="D2641" t="str">
        <f>"SC SU 218806"</f>
        <v>SC SU 218806</v>
      </c>
      <c r="E2641" t="str">
        <f t="shared" si="464"/>
        <v>SC</v>
      </c>
      <c r="F2641" t="s">
        <v>29</v>
      </c>
      <c r="G2641" t="s">
        <v>30</v>
      </c>
      <c r="H2641">
        <v>95</v>
      </c>
      <c r="I2641" t="str">
        <f t="shared" si="468"/>
        <v>Seashell Trust</v>
      </c>
      <c r="J2641" t="str">
        <f>"General resources Equipment Furniture And Materials Supplies And Services Specialist Inclusion Service (DSG) Children and Young People's Serv -"</f>
        <v>General resources Equipment Furniture And Materials Supplies And Services Specialist Inclusion Service (DSG) Children and Young People's Serv -</v>
      </c>
    </row>
    <row r="2642" spans="1:10" x14ac:dyDescent="0.35">
      <c r="A2642" t="str">
        <f t="shared" si="467"/>
        <v>MAR</v>
      </c>
      <c r="B2642" t="str">
        <f t="shared" si="462"/>
        <v>21</v>
      </c>
      <c r="C2642" t="str">
        <f t="shared" si="463"/>
        <v>2020/21</v>
      </c>
      <c r="D2642" t="str">
        <f>"SC SU 218806"</f>
        <v>SC SU 218806</v>
      </c>
      <c r="E2642" t="str">
        <f t="shared" si="464"/>
        <v>SC</v>
      </c>
      <c r="F2642" t="s">
        <v>29</v>
      </c>
      <c r="G2642" t="s">
        <v>30</v>
      </c>
      <c r="H2642">
        <v>95</v>
      </c>
      <c r="I2642" t="str">
        <f t="shared" si="468"/>
        <v>Seashell Trust</v>
      </c>
      <c r="J2642" t="str">
        <f>"General resources Equipment Furniture And Materials Supplies And Services Specialist Inclusion Service (DSG) Children and Young People's Serv -"</f>
        <v>General resources Equipment Furniture And Materials Supplies And Services Specialist Inclusion Service (DSG) Children and Young People's Serv -</v>
      </c>
    </row>
    <row r="2643" spans="1:10" x14ac:dyDescent="0.35">
      <c r="A2643" t="str">
        <f t="shared" si="467"/>
        <v>MAR</v>
      </c>
      <c r="B2643" t="str">
        <f t="shared" si="462"/>
        <v>21</v>
      </c>
      <c r="C2643" t="str">
        <f t="shared" si="463"/>
        <v>2020/21</v>
      </c>
      <c r="D2643" t="str">
        <f>"SC SU 219301"</f>
        <v>SC SU 219301</v>
      </c>
      <c r="E2643" t="str">
        <f t="shared" si="464"/>
        <v>SC</v>
      </c>
      <c r="F2643" t="s">
        <v>29</v>
      </c>
      <c r="G2643" t="s">
        <v>30</v>
      </c>
      <c r="H2643">
        <v>928.8</v>
      </c>
      <c r="I2643" t="str">
        <f t="shared" si="468"/>
        <v>Seashell Trust</v>
      </c>
      <c r="J2643" t="str">
        <f>"General resources Equipment Furniture And Materials Supplies And Services Specialist Inclusion Service (DSG) Children and Young People's Serv -"</f>
        <v>General resources Equipment Furniture And Materials Supplies And Services Specialist Inclusion Service (DSG) Children and Young People's Serv -</v>
      </c>
    </row>
    <row r="2644" spans="1:10" x14ac:dyDescent="0.35">
      <c r="A2644" t="str">
        <f t="shared" si="467"/>
        <v>MAR</v>
      </c>
      <c r="B2644" t="str">
        <f t="shared" si="462"/>
        <v>21</v>
      </c>
      <c r="C2644" t="str">
        <f t="shared" si="463"/>
        <v>2020/21</v>
      </c>
      <c r="D2644" t="str">
        <f>"SC SU 219301"</f>
        <v>SC SU 219301</v>
      </c>
      <c r="E2644" t="str">
        <f t="shared" si="464"/>
        <v>SC</v>
      </c>
      <c r="F2644" t="s">
        <v>29</v>
      </c>
      <c r="G2644" t="s">
        <v>30</v>
      </c>
      <c r="H2644">
        <v>7800</v>
      </c>
      <c r="I2644" t="str">
        <f t="shared" si="468"/>
        <v>Seashell Trust</v>
      </c>
      <c r="J2644" t="str">
        <f>"General resources Equipment Furniture And Materials Supplies And Services Specialist Inclusion Service (DSG) Children and Young People's Serv -"</f>
        <v>General resources Equipment Furniture And Materials Supplies And Services Specialist Inclusion Service (DSG) Children and Young People's Serv -</v>
      </c>
    </row>
    <row r="2645" spans="1:10" x14ac:dyDescent="0.35">
      <c r="A2645" t="str">
        <f t="shared" si="467"/>
        <v>MAR</v>
      </c>
      <c r="B2645" t="str">
        <f t="shared" si="462"/>
        <v>21</v>
      </c>
      <c r="C2645" t="str">
        <f t="shared" si="463"/>
        <v>2020/21</v>
      </c>
      <c r="D2645" t="str">
        <f>"SC SS 217658"</f>
        <v>SC SS 217658</v>
      </c>
      <c r="E2645" t="str">
        <f t="shared" si="464"/>
        <v>SC</v>
      </c>
      <c r="F2645" t="s">
        <v>29</v>
      </c>
      <c r="G2645" t="s">
        <v>30</v>
      </c>
      <c r="H2645">
        <v>5723.97</v>
      </c>
      <c r="I2645" t="str">
        <f t="shared" si="468"/>
        <v>Seashell Trust</v>
      </c>
      <c r="J2645" t="str">
        <f>"Top Up - Post 16 Contributions To Funds And Provisions Supplies And Services EHC Support Children and Young People's Serv - Central Depts."</f>
        <v>Top Up - Post 16 Contributions To Funds And Provisions Supplies And Services EHC Support Children and Young People's Serv - Central Depts.</v>
      </c>
    </row>
    <row r="2646" spans="1:10" x14ac:dyDescent="0.35">
      <c r="A2646" t="str">
        <f t="shared" si="467"/>
        <v>MAR</v>
      </c>
      <c r="B2646" t="str">
        <f t="shared" si="462"/>
        <v>21</v>
      </c>
      <c r="C2646" t="str">
        <f t="shared" si="463"/>
        <v>2020/21</v>
      </c>
      <c r="D2646" t="str">
        <f>"SC SS 219005"</f>
        <v>SC SS 219005</v>
      </c>
      <c r="E2646" t="str">
        <f t="shared" si="464"/>
        <v>SC</v>
      </c>
      <c r="F2646" t="s">
        <v>29</v>
      </c>
      <c r="G2646" t="s">
        <v>30</v>
      </c>
      <c r="H2646">
        <v>729</v>
      </c>
      <c r="I2646" t="str">
        <f>"The Space @ Field Lane Centre"</f>
        <v>The Space @ Field Lane Centre</v>
      </c>
      <c r="J2646" t="str">
        <f>"EOTAS &amp; Other Provision Other Committees Of The Council Agency And Contracted Services EHC Support Children and Young People's Serv - Central De"</f>
        <v>EOTAS &amp; Other Provision Other Committees Of The Council Agency And Contracted Services EHC Support Children and Young People's Serv - Central De</v>
      </c>
    </row>
    <row r="2647" spans="1:10" x14ac:dyDescent="0.35">
      <c r="A2647" t="str">
        <f t="shared" si="467"/>
        <v>MAR</v>
      </c>
      <c r="B2647" t="str">
        <f t="shared" si="462"/>
        <v>21</v>
      </c>
      <c r="C2647" t="str">
        <f t="shared" si="463"/>
        <v>2020/21</v>
      </c>
      <c r="D2647" t="str">
        <f>"SC SS 219005"</f>
        <v>SC SS 219005</v>
      </c>
      <c r="E2647" t="str">
        <f t="shared" si="464"/>
        <v>SC</v>
      </c>
      <c r="F2647" t="s">
        <v>29</v>
      </c>
      <c r="G2647" t="s">
        <v>30</v>
      </c>
      <c r="H2647">
        <v>891</v>
      </c>
      <c r="I2647" t="str">
        <f>"The Space @ Field Lane Centre"</f>
        <v>The Space @ Field Lane Centre</v>
      </c>
      <c r="J2647" t="str">
        <f>"EOTAS &amp; Other Provision Other Committees Of The Council Agency And Contracted Services EHC Support Children and Young People's Serv - Central De"</f>
        <v>EOTAS &amp; Other Provision Other Committees Of The Council Agency And Contracted Services EHC Support Children and Young People's Serv - Central De</v>
      </c>
    </row>
    <row r="2648" spans="1:10" x14ac:dyDescent="0.35">
      <c r="A2648" t="str">
        <f t="shared" si="467"/>
        <v>MAR</v>
      </c>
      <c r="B2648" t="str">
        <f t="shared" si="462"/>
        <v>21</v>
      </c>
      <c r="C2648" t="str">
        <f t="shared" si="463"/>
        <v>2020/21</v>
      </c>
      <c r="D2648" t="str">
        <f>"SC YS 218877"</f>
        <v>SC YS 218877</v>
      </c>
      <c r="E2648" t="str">
        <f t="shared" si="464"/>
        <v>SC</v>
      </c>
      <c r="F2648" t="s">
        <v>31</v>
      </c>
      <c r="G2648" t="s">
        <v>30</v>
      </c>
      <c r="H2648">
        <v>6085.25</v>
      </c>
      <c r="I2648" t="str">
        <f>"Barnardo's Invoiced Income"</f>
        <v>Barnardo's Invoiced Income</v>
      </c>
      <c r="J2648" t="str">
        <f>"Grants to Voluntary Associations Grants And Subscriptions Supplies And Services Youth Service - Central Costs Schools and Children's Services -"</f>
        <v>Grants to Voluntary Associations Grants And Subscriptions Supplies And Services Youth Service - Central Costs Schools and Children's Services -</v>
      </c>
    </row>
    <row r="2649" spans="1:10" x14ac:dyDescent="0.35">
      <c r="A2649" t="str">
        <f t="shared" si="467"/>
        <v>MAR</v>
      </c>
      <c r="B2649" t="str">
        <f t="shared" si="462"/>
        <v>21</v>
      </c>
      <c r="C2649" t="str">
        <f t="shared" si="463"/>
        <v>2020/21</v>
      </c>
      <c r="D2649" t="str">
        <f>"SC FT 218964"</f>
        <v>SC FT 218964</v>
      </c>
      <c r="E2649" t="str">
        <f t="shared" si="464"/>
        <v>SC</v>
      </c>
      <c r="F2649" t="s">
        <v>32</v>
      </c>
      <c r="G2649" t="s">
        <v>30</v>
      </c>
      <c r="H2649">
        <v>70</v>
      </c>
      <c r="I2649" t="str">
        <f>"Greenhome Calderdale CIC"</f>
        <v>Greenhome Calderdale CIC</v>
      </c>
      <c r="J2649" t="str">
        <f>"General Income Customer And Client Receipts Income Family Intervention Team Childrens Services Unit"</f>
        <v>General Income Customer And Client Receipts Income Family Intervention Team Childrens Services Unit</v>
      </c>
    </row>
    <row r="2650" spans="1:10" x14ac:dyDescent="0.35">
      <c r="A2650" t="str">
        <f t="shared" si="467"/>
        <v>MAR</v>
      </c>
      <c r="B2650" t="str">
        <f t="shared" si="462"/>
        <v>21</v>
      </c>
      <c r="C2650" t="str">
        <f t="shared" si="463"/>
        <v>2020/21</v>
      </c>
      <c r="D2650" t="str">
        <f>"SC FT 219128"</f>
        <v>SC FT 219128</v>
      </c>
      <c r="E2650" t="str">
        <f t="shared" si="464"/>
        <v>SC</v>
      </c>
      <c r="F2650" t="s">
        <v>32</v>
      </c>
      <c r="G2650" t="s">
        <v>30</v>
      </c>
      <c r="H2650">
        <v>79</v>
      </c>
      <c r="I2650" t="str">
        <f>"Greenhome Calderdale CIC"</f>
        <v>Greenhome Calderdale CIC</v>
      </c>
      <c r="J2650" t="str">
        <f>"General Income Customer And Client Receipts Income Family Intervention Team Childrens Services Unit"</f>
        <v>General Income Customer And Client Receipts Income Family Intervention Team Childrens Services Unit</v>
      </c>
    </row>
    <row r="2651" spans="1:10" x14ac:dyDescent="0.35">
      <c r="A2651" t="str">
        <f t="shared" si="467"/>
        <v>MAR</v>
      </c>
      <c r="B2651" t="str">
        <f t="shared" si="462"/>
        <v>21</v>
      </c>
      <c r="C2651" t="str">
        <f t="shared" si="463"/>
        <v>2020/21</v>
      </c>
      <c r="D2651" t="str">
        <f>"SC FT 219122"</f>
        <v>SC FT 219122</v>
      </c>
      <c r="E2651" t="str">
        <f t="shared" si="464"/>
        <v>SC</v>
      </c>
      <c r="F2651" t="s">
        <v>32</v>
      </c>
      <c r="G2651" t="s">
        <v>30</v>
      </c>
      <c r="H2651">
        <v>80</v>
      </c>
      <c r="I2651" t="str">
        <f>"Greenhome Calderdale CIC"</f>
        <v>Greenhome Calderdale CIC</v>
      </c>
      <c r="J2651" t="str">
        <f>"General Income Customer And Client Receipts Income Family Intervention Team Childrens Services Unit"</f>
        <v>General Income Customer And Client Receipts Income Family Intervention Team Childrens Services Unit</v>
      </c>
    </row>
    <row r="2652" spans="1:10" x14ac:dyDescent="0.35">
      <c r="A2652" t="str">
        <f t="shared" si="467"/>
        <v>MAR</v>
      </c>
      <c r="B2652" t="str">
        <f t="shared" si="462"/>
        <v>21</v>
      </c>
      <c r="C2652" t="str">
        <f t="shared" si="463"/>
        <v>2020/21</v>
      </c>
      <c r="D2652" t="str">
        <f>"SC FT 219316"</f>
        <v>SC FT 219316</v>
      </c>
      <c r="E2652" t="str">
        <f t="shared" si="464"/>
        <v>SC</v>
      </c>
      <c r="F2652" t="s">
        <v>32</v>
      </c>
      <c r="G2652" t="s">
        <v>30</v>
      </c>
      <c r="H2652">
        <v>100</v>
      </c>
      <c r="I2652" t="str">
        <f>"Greenhome Calderdale CIC"</f>
        <v>Greenhome Calderdale CIC</v>
      </c>
      <c r="J2652" t="str">
        <f>"General Income Customer And Client Receipts Income Family Intervention Team Childrens Services Unit"</f>
        <v>General Income Customer And Client Receipts Income Family Intervention Team Childrens Services Unit</v>
      </c>
    </row>
    <row r="2653" spans="1:10" x14ac:dyDescent="0.35">
      <c r="A2653" t="str">
        <f t="shared" si="467"/>
        <v>MAR</v>
      </c>
      <c r="B2653" t="str">
        <f t="shared" si="462"/>
        <v>21</v>
      </c>
      <c r="C2653" t="str">
        <f t="shared" si="463"/>
        <v>2020/21</v>
      </c>
      <c r="D2653" t="str">
        <f>"SC EY 218827"</f>
        <v>SC EY 218827</v>
      </c>
      <c r="E2653" t="str">
        <f t="shared" si="464"/>
        <v>SC</v>
      </c>
      <c r="F2653" t="s">
        <v>32</v>
      </c>
      <c r="G2653" t="s">
        <v>30</v>
      </c>
      <c r="H2653">
        <v>540</v>
      </c>
      <c r="I2653" t="str">
        <f>"Creations Community Childrens Centre"</f>
        <v>Creations Community Childrens Centre</v>
      </c>
      <c r="J2653" t="str">
        <f t="shared" ref="J2653:J2660" si="469">"Access to Support provision Other Agency And Contracted Services Agency And Contracted Services Early Intervention Childcare Funding Childrens S"</f>
        <v>Access to Support provision Other Agency And Contracted Services Agency And Contracted Services Early Intervention Childcare Funding Childrens S</v>
      </c>
    </row>
    <row r="2654" spans="1:10" x14ac:dyDescent="0.35">
      <c r="A2654" t="str">
        <f t="shared" si="467"/>
        <v>MAR</v>
      </c>
      <c r="B2654" t="str">
        <f t="shared" si="462"/>
        <v>21</v>
      </c>
      <c r="C2654" t="str">
        <f t="shared" si="463"/>
        <v>2020/21</v>
      </c>
      <c r="D2654" t="str">
        <f>"SC EY 218855"</f>
        <v>SC EY 218855</v>
      </c>
      <c r="E2654" t="str">
        <f t="shared" si="464"/>
        <v>SC</v>
      </c>
      <c r="F2654" t="s">
        <v>32</v>
      </c>
      <c r="G2654" t="s">
        <v>30</v>
      </c>
      <c r="H2654">
        <v>1181</v>
      </c>
      <c r="I2654" t="str">
        <f>"Jubilee Children's Centre"</f>
        <v>Jubilee Children's Centre</v>
      </c>
      <c r="J2654" t="str">
        <f t="shared" si="469"/>
        <v>Access to Support provision Other Agency And Contracted Services Agency And Contracted Services Early Intervention Childcare Funding Childrens S</v>
      </c>
    </row>
    <row r="2655" spans="1:10" x14ac:dyDescent="0.35">
      <c r="A2655" t="str">
        <f t="shared" si="467"/>
        <v>MAR</v>
      </c>
      <c r="B2655" t="str">
        <f t="shared" si="462"/>
        <v>21</v>
      </c>
      <c r="C2655" t="str">
        <f t="shared" si="463"/>
        <v>2020/21</v>
      </c>
      <c r="D2655" t="str">
        <f>"SC EY 218826"</f>
        <v>SC EY 218826</v>
      </c>
      <c r="E2655" t="str">
        <f t="shared" si="464"/>
        <v>SC</v>
      </c>
      <c r="F2655" t="s">
        <v>32</v>
      </c>
      <c r="G2655" t="s">
        <v>30</v>
      </c>
      <c r="H2655">
        <v>650</v>
      </c>
      <c r="I2655" t="str">
        <f>"Ash Green Childrens Centre"</f>
        <v>Ash Green Childrens Centre</v>
      </c>
      <c r="J2655" t="str">
        <f t="shared" si="469"/>
        <v>Access to Support provision Other Agency And Contracted Services Agency And Contracted Services Early Intervention Childcare Funding Childrens S</v>
      </c>
    </row>
    <row r="2656" spans="1:10" x14ac:dyDescent="0.35">
      <c r="A2656" t="str">
        <f t="shared" si="467"/>
        <v>MAR</v>
      </c>
      <c r="B2656" t="str">
        <f t="shared" si="462"/>
        <v>21</v>
      </c>
      <c r="C2656" t="str">
        <f t="shared" si="463"/>
        <v>2020/21</v>
      </c>
      <c r="D2656" t="str">
        <f>"SC EY 218830"</f>
        <v>SC EY 218830</v>
      </c>
      <c r="E2656" t="str">
        <f t="shared" si="464"/>
        <v>SC</v>
      </c>
      <c r="F2656" t="s">
        <v>32</v>
      </c>
      <c r="G2656" t="s">
        <v>30</v>
      </c>
      <c r="H2656">
        <v>1208</v>
      </c>
      <c r="I2656" t="str">
        <f>"Kevin Pearce Childrens Centre"</f>
        <v>Kevin Pearce Childrens Centre</v>
      </c>
      <c r="J2656" t="str">
        <f t="shared" si="469"/>
        <v>Access to Support provision Other Agency And Contracted Services Agency And Contracted Services Early Intervention Childcare Funding Childrens S</v>
      </c>
    </row>
    <row r="2657" spans="1:10" x14ac:dyDescent="0.35">
      <c r="A2657" t="str">
        <f t="shared" si="467"/>
        <v>MAR</v>
      </c>
      <c r="B2657" t="str">
        <f t="shared" si="462"/>
        <v>21</v>
      </c>
      <c r="C2657" t="str">
        <f t="shared" si="463"/>
        <v>2020/21</v>
      </c>
      <c r="D2657" t="str">
        <f>"SC EY 218908"</f>
        <v>SC EY 218908</v>
      </c>
      <c r="E2657" t="str">
        <f t="shared" si="464"/>
        <v>SC</v>
      </c>
      <c r="F2657" t="s">
        <v>32</v>
      </c>
      <c r="G2657" t="s">
        <v>30</v>
      </c>
      <c r="H2657">
        <v>1482</v>
      </c>
      <c r="I2657" t="str">
        <f>"Siddal Children's Centre"</f>
        <v>Siddal Children's Centre</v>
      </c>
      <c r="J2657" t="str">
        <f t="shared" si="469"/>
        <v>Access to Support provision Other Agency And Contracted Services Agency And Contracted Services Early Intervention Childcare Funding Childrens S</v>
      </c>
    </row>
    <row r="2658" spans="1:10" x14ac:dyDescent="0.35">
      <c r="A2658" t="str">
        <f t="shared" si="467"/>
        <v>MAR</v>
      </c>
      <c r="B2658" t="str">
        <f t="shared" si="462"/>
        <v>21</v>
      </c>
      <c r="C2658" t="str">
        <f t="shared" si="463"/>
        <v>2020/21</v>
      </c>
      <c r="D2658" t="str">
        <f>"SC EY 218834"</f>
        <v>SC EY 218834</v>
      </c>
      <c r="E2658" t="str">
        <f t="shared" si="464"/>
        <v>SC</v>
      </c>
      <c r="F2658" t="s">
        <v>32</v>
      </c>
      <c r="G2658" t="s">
        <v>30</v>
      </c>
      <c r="H2658">
        <v>256</v>
      </c>
      <c r="I2658" t="str">
        <f>"Todmorden Children's Centre"</f>
        <v>Todmorden Children's Centre</v>
      </c>
      <c r="J2658" t="str">
        <f t="shared" si="469"/>
        <v>Access to Support provision Other Agency And Contracted Services Agency And Contracted Services Early Intervention Childcare Funding Childrens S</v>
      </c>
    </row>
    <row r="2659" spans="1:10" x14ac:dyDescent="0.35">
      <c r="A2659" t="str">
        <f t="shared" si="467"/>
        <v>MAR</v>
      </c>
      <c r="B2659" t="str">
        <f t="shared" si="462"/>
        <v>21</v>
      </c>
      <c r="C2659" t="str">
        <f t="shared" si="463"/>
        <v>2020/21</v>
      </c>
      <c r="D2659" t="str">
        <f>"SC EY 219058"</f>
        <v>SC EY 219058</v>
      </c>
      <c r="E2659" t="str">
        <f t="shared" si="464"/>
        <v>SC</v>
      </c>
      <c r="F2659" t="s">
        <v>32</v>
      </c>
      <c r="G2659" t="s">
        <v>30</v>
      </c>
      <c r="H2659">
        <v>256</v>
      </c>
      <c r="I2659" t="str">
        <f>"Todmorden Children's Centre"</f>
        <v>Todmorden Children's Centre</v>
      </c>
      <c r="J2659" t="str">
        <f t="shared" si="469"/>
        <v>Access to Support provision Other Agency And Contracted Services Agency And Contracted Services Early Intervention Childcare Funding Childrens S</v>
      </c>
    </row>
    <row r="2660" spans="1:10" x14ac:dyDescent="0.35">
      <c r="A2660" t="str">
        <f t="shared" si="467"/>
        <v>MAR</v>
      </c>
      <c r="B2660" t="str">
        <f t="shared" si="462"/>
        <v>21</v>
      </c>
      <c r="C2660" t="str">
        <f t="shared" si="463"/>
        <v>2020/21</v>
      </c>
      <c r="D2660" t="str">
        <f>"SC EY 218957"</f>
        <v>SC EY 218957</v>
      </c>
      <c r="E2660" t="str">
        <f t="shared" si="464"/>
        <v>SC</v>
      </c>
      <c r="F2660" t="s">
        <v>32</v>
      </c>
      <c r="G2660" t="s">
        <v>30</v>
      </c>
      <c r="H2660">
        <v>220</v>
      </c>
      <c r="I2660" t="str">
        <f>"Wellholme Children's Centre"</f>
        <v>Wellholme Children's Centre</v>
      </c>
      <c r="J2660" t="str">
        <f t="shared" si="469"/>
        <v>Access to Support provision Other Agency And Contracted Services Agency And Contracted Services Early Intervention Childcare Funding Childrens S</v>
      </c>
    </row>
    <row r="2661" spans="1:10" x14ac:dyDescent="0.35">
      <c r="A2661" t="str">
        <f t="shared" si="467"/>
        <v>MAR</v>
      </c>
      <c r="B2661" t="str">
        <f t="shared" si="462"/>
        <v>21</v>
      </c>
      <c r="C2661" t="str">
        <f t="shared" si="463"/>
        <v>2020/21</v>
      </c>
      <c r="D2661" t="str">
        <f>"SC EY 218799"</f>
        <v>SC EY 218799</v>
      </c>
      <c r="E2661" t="str">
        <f t="shared" si="464"/>
        <v>SC</v>
      </c>
      <c r="F2661" t="s">
        <v>32</v>
      </c>
      <c r="G2661" t="s">
        <v>30</v>
      </c>
      <c r="H2661">
        <v>500</v>
      </c>
      <c r="I2661" t="str">
        <f>"Kevin Pearce Childrens Centre"</f>
        <v>Kevin Pearce Childrens Centre</v>
      </c>
      <c r="J2661" t="str">
        <f>"Project Expenses Expenses Supplies And Services Early Years &amp; Childcare Sufficiency Team Childrens Services Unit"</f>
        <v>Project Expenses Expenses Supplies And Services Early Years &amp; Childcare Sufficiency Team Childrens Services Unit</v>
      </c>
    </row>
    <row r="2662" spans="1:10" x14ac:dyDescent="0.35">
      <c r="A2662" t="str">
        <f t="shared" si="467"/>
        <v>MAR</v>
      </c>
      <c r="B2662" t="str">
        <f t="shared" si="462"/>
        <v>21</v>
      </c>
      <c r="C2662" t="str">
        <f t="shared" si="463"/>
        <v>2020/21</v>
      </c>
      <c r="D2662" t="str">
        <f>"SC EY 218987"</f>
        <v>SC EY 218987</v>
      </c>
      <c r="E2662" t="str">
        <f t="shared" si="464"/>
        <v>SC</v>
      </c>
      <c r="F2662" t="s">
        <v>32</v>
      </c>
      <c r="G2662" t="s">
        <v>30</v>
      </c>
      <c r="H2662">
        <v>310.5</v>
      </c>
      <c r="I2662" t="str">
        <f>"Creations Community Childrens Centre"</f>
        <v>Creations Community Childrens Centre</v>
      </c>
      <c r="J2662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2663" spans="1:10" x14ac:dyDescent="0.35">
      <c r="A2663" t="str">
        <f t="shared" si="467"/>
        <v>MAR</v>
      </c>
      <c r="B2663" t="str">
        <f t="shared" si="462"/>
        <v>21</v>
      </c>
      <c r="C2663" t="str">
        <f t="shared" si="463"/>
        <v>2020/21</v>
      </c>
      <c r="D2663" t="str">
        <f>"SC EY 218987"</f>
        <v>SC EY 218987</v>
      </c>
      <c r="E2663" t="str">
        <f t="shared" si="464"/>
        <v>SC</v>
      </c>
      <c r="F2663" t="s">
        <v>32</v>
      </c>
      <c r="G2663" t="s">
        <v>30</v>
      </c>
      <c r="H2663">
        <v>310.5</v>
      </c>
      <c r="I2663" t="str">
        <f>"Creations Community Childrens Centre"</f>
        <v>Creations Community Childrens Centre</v>
      </c>
      <c r="J2663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2664" spans="1:10" x14ac:dyDescent="0.35">
      <c r="A2664" t="str">
        <f t="shared" si="467"/>
        <v>MAR</v>
      </c>
      <c r="B2664" t="str">
        <f t="shared" si="462"/>
        <v>21</v>
      </c>
      <c r="C2664" t="str">
        <f t="shared" si="463"/>
        <v>2020/21</v>
      </c>
      <c r="D2664" t="str">
        <f>"SC EY 219212"</f>
        <v>SC EY 219212</v>
      </c>
      <c r="E2664" t="str">
        <f t="shared" si="464"/>
        <v>SC</v>
      </c>
      <c r="F2664" t="s">
        <v>32</v>
      </c>
      <c r="G2664" t="s">
        <v>30</v>
      </c>
      <c r="H2664">
        <v>270</v>
      </c>
      <c r="I2664" t="str">
        <f>"Innovations Children's Centre"</f>
        <v>Innovations Children's Centre</v>
      </c>
      <c r="J2664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2665" spans="1:10" x14ac:dyDescent="0.35">
      <c r="A2665" t="str">
        <f t="shared" si="467"/>
        <v>MAR</v>
      </c>
      <c r="B2665" t="str">
        <f t="shared" si="462"/>
        <v>21</v>
      </c>
      <c r="C2665" t="str">
        <f t="shared" si="463"/>
        <v>2020/21</v>
      </c>
      <c r="D2665" t="str">
        <f>"SC EY 218985"</f>
        <v>SC EY 218985</v>
      </c>
      <c r="E2665" t="str">
        <f t="shared" si="464"/>
        <v>SC</v>
      </c>
      <c r="F2665" t="s">
        <v>32</v>
      </c>
      <c r="G2665" t="s">
        <v>30</v>
      </c>
      <c r="H2665">
        <v>364.5</v>
      </c>
      <c r="I2665" t="str">
        <f>"Siddal Children's Centre"</f>
        <v>Siddal Children's Centre</v>
      </c>
      <c r="J2665" t="str">
        <f>"3/4 year old inclusion support (DSG) Grants And Subscriptions Supplies And Services D C A T C H Childrens Services Unit"</f>
        <v>3/4 year old inclusion support (DSG) Grants And Subscriptions Supplies And Services D C A T C H Childrens Services Unit</v>
      </c>
    </row>
    <row r="2666" spans="1:10" x14ac:dyDescent="0.35">
      <c r="A2666" t="str">
        <f t="shared" si="467"/>
        <v>MAR</v>
      </c>
      <c r="B2666" t="str">
        <f t="shared" si="462"/>
        <v>21</v>
      </c>
      <c r="C2666" t="str">
        <f t="shared" si="463"/>
        <v>2020/21</v>
      </c>
      <c r="D2666" t="str">
        <f>"SC EY 218846"</f>
        <v>SC EY 218846</v>
      </c>
      <c r="E2666" t="str">
        <f t="shared" si="464"/>
        <v>SC</v>
      </c>
      <c r="F2666" t="s">
        <v>32</v>
      </c>
      <c r="G2666" t="s">
        <v>30</v>
      </c>
      <c r="H2666">
        <v>606</v>
      </c>
      <c r="I2666" t="str">
        <f>"Children's Corner Pre-School Committee"</f>
        <v>Children's Corner Pre-School Committee</v>
      </c>
      <c r="J2666" t="str">
        <f t="shared" ref="J2666:J2684" si="470">"3 Year Old Funding Other Committees Other Committees Of The Council Agency And Contracted Services Nursery Grant Funding Childrens Services Unit"</f>
        <v>3 Year Old Funding Other Committees Other Committees Of The Council Agency And Contracted Services Nursery Grant Funding Childrens Services Unit</v>
      </c>
    </row>
    <row r="2667" spans="1:10" x14ac:dyDescent="0.35">
      <c r="A2667" t="str">
        <f t="shared" si="467"/>
        <v>MAR</v>
      </c>
      <c r="B2667" t="str">
        <f t="shared" si="462"/>
        <v>21</v>
      </c>
      <c r="C2667" t="str">
        <f t="shared" si="463"/>
        <v>2020/21</v>
      </c>
      <c r="E2667" t="str">
        <f t="shared" si="464"/>
        <v/>
      </c>
      <c r="F2667" t="s">
        <v>32</v>
      </c>
      <c r="G2667" t="s">
        <v>30</v>
      </c>
      <c r="H2667">
        <v>429</v>
      </c>
      <c r="I2667" t="str">
        <f>"Children's Corner Pre-School Committee"</f>
        <v>Children's Corner Pre-School Committee</v>
      </c>
      <c r="J2667" t="str">
        <f t="shared" si="470"/>
        <v>3 Year Old Funding Other Committees Other Committees Of The Council Agency And Contracted Services Nursery Grant Funding Childrens Services Unit</v>
      </c>
    </row>
    <row r="2668" spans="1:10" x14ac:dyDescent="0.35">
      <c r="A2668" t="str">
        <f t="shared" si="467"/>
        <v>MAR</v>
      </c>
      <c r="B2668" t="str">
        <f t="shared" si="462"/>
        <v>21</v>
      </c>
      <c r="C2668" t="str">
        <f t="shared" si="463"/>
        <v>2020/21</v>
      </c>
      <c r="E2668" t="str">
        <f t="shared" si="464"/>
        <v/>
      </c>
      <c r="F2668" t="s">
        <v>32</v>
      </c>
      <c r="G2668" t="s">
        <v>30</v>
      </c>
      <c r="H2668">
        <v>355.32</v>
      </c>
      <c r="I2668" t="str">
        <f>"Calder Valley Steiner School"</f>
        <v>Calder Valley Steiner School</v>
      </c>
      <c r="J2668" t="str">
        <f t="shared" si="470"/>
        <v>3 Year Old Funding Other Committees Other Committees Of The Council Agency And Contracted Services Nursery Grant Funding Childrens Services Unit</v>
      </c>
    </row>
    <row r="2669" spans="1:10" x14ac:dyDescent="0.35">
      <c r="A2669" t="str">
        <f t="shared" si="467"/>
        <v>MAR</v>
      </c>
      <c r="B2669" t="str">
        <f t="shared" si="462"/>
        <v>21</v>
      </c>
      <c r="C2669" t="str">
        <f t="shared" si="463"/>
        <v>2020/21</v>
      </c>
      <c r="E2669" t="str">
        <f t="shared" si="464"/>
        <v/>
      </c>
      <c r="F2669" t="s">
        <v>32</v>
      </c>
      <c r="G2669" t="s">
        <v>30</v>
      </c>
      <c r="H2669">
        <v>686.7</v>
      </c>
      <c r="I2669" t="str">
        <f>"Colden Pre-School Playgroup"</f>
        <v>Colden Pre-School Playgroup</v>
      </c>
      <c r="J2669" t="str">
        <f t="shared" si="470"/>
        <v>3 Year Old Funding Other Committees Other Committees Of The Council Agency And Contracted Services Nursery Grant Funding Childrens Services Unit</v>
      </c>
    </row>
    <row r="2670" spans="1:10" x14ac:dyDescent="0.35">
      <c r="A2670" t="str">
        <f t="shared" si="467"/>
        <v>MAR</v>
      </c>
      <c r="B2670" t="str">
        <f t="shared" si="462"/>
        <v>21</v>
      </c>
      <c r="C2670" t="str">
        <f t="shared" si="463"/>
        <v>2020/21</v>
      </c>
      <c r="D2670" t="str">
        <f>"SC EY 218847"</f>
        <v>SC EY 218847</v>
      </c>
      <c r="E2670" t="str">
        <f t="shared" si="464"/>
        <v>SC</v>
      </c>
      <c r="F2670" t="s">
        <v>32</v>
      </c>
      <c r="G2670" t="s">
        <v>30</v>
      </c>
      <c r="H2670">
        <v>316.8</v>
      </c>
      <c r="I2670" t="str">
        <f>"Creations Community Childrens Centre"</f>
        <v>Creations Community Childrens Centre</v>
      </c>
      <c r="J2670" t="str">
        <f t="shared" si="470"/>
        <v>3 Year Old Funding Other Committees Other Committees Of The Council Agency And Contracted Services Nursery Grant Funding Childrens Services Unit</v>
      </c>
    </row>
    <row r="2671" spans="1:10" x14ac:dyDescent="0.35">
      <c r="A2671" t="str">
        <f t="shared" si="467"/>
        <v>MAR</v>
      </c>
      <c r="B2671" t="str">
        <f t="shared" si="462"/>
        <v>21</v>
      </c>
      <c r="C2671" t="str">
        <f t="shared" si="463"/>
        <v>2020/21</v>
      </c>
      <c r="D2671" t="str">
        <f>"SC EY 219130"</f>
        <v>SC EY 219130</v>
      </c>
      <c r="E2671" t="str">
        <f t="shared" si="464"/>
        <v>SC</v>
      </c>
      <c r="F2671" t="s">
        <v>32</v>
      </c>
      <c r="G2671" t="s">
        <v>30</v>
      </c>
      <c r="H2671">
        <v>316.8</v>
      </c>
      <c r="I2671" t="str">
        <f>"Creations Community Childrens Centre"</f>
        <v>Creations Community Childrens Centre</v>
      </c>
      <c r="J2671" t="str">
        <f t="shared" si="470"/>
        <v>3 Year Old Funding Other Committees Other Committees Of The Council Agency And Contracted Services Nursery Grant Funding Childrens Services Unit</v>
      </c>
    </row>
    <row r="2672" spans="1:10" x14ac:dyDescent="0.35">
      <c r="A2672" t="str">
        <f t="shared" si="467"/>
        <v>MAR</v>
      </c>
      <c r="B2672" t="str">
        <f t="shared" si="462"/>
        <v>21</v>
      </c>
      <c r="C2672" t="str">
        <f t="shared" si="463"/>
        <v>2020/21</v>
      </c>
      <c r="E2672" t="str">
        <f t="shared" si="464"/>
        <v/>
      </c>
      <c r="F2672" t="s">
        <v>32</v>
      </c>
      <c r="G2672" t="s">
        <v>30</v>
      </c>
      <c r="H2672">
        <v>1913.04</v>
      </c>
      <c r="I2672" t="str">
        <f>"Crossley Mill Nursery"</f>
        <v>Crossley Mill Nursery</v>
      </c>
      <c r="J2672" t="str">
        <f t="shared" si="470"/>
        <v>3 Year Old Funding Other Committees Other Committees Of The Council Agency And Contracted Services Nursery Grant Funding Childrens Services Unit</v>
      </c>
    </row>
    <row r="2673" spans="1:10" x14ac:dyDescent="0.35">
      <c r="A2673" t="str">
        <f t="shared" si="467"/>
        <v>MAR</v>
      </c>
      <c r="B2673" t="str">
        <f t="shared" si="462"/>
        <v>21</v>
      </c>
      <c r="C2673" t="str">
        <f t="shared" si="463"/>
        <v>2020/21</v>
      </c>
      <c r="E2673" t="str">
        <f t="shared" si="464"/>
        <v/>
      </c>
      <c r="F2673" t="s">
        <v>32</v>
      </c>
      <c r="G2673" t="s">
        <v>30</v>
      </c>
      <c r="H2673">
        <v>1096.2</v>
      </c>
      <c r="I2673" t="str">
        <f>"Halifax Opportunities Trust"</f>
        <v>Halifax Opportunities Trust</v>
      </c>
      <c r="J2673" t="str">
        <f t="shared" si="470"/>
        <v>3 Year Old Funding Other Committees Other Committees Of The Council Agency And Contracted Services Nursery Grant Funding Childrens Services Unit</v>
      </c>
    </row>
    <row r="2674" spans="1:10" x14ac:dyDescent="0.35">
      <c r="A2674" t="str">
        <f t="shared" si="467"/>
        <v>MAR</v>
      </c>
      <c r="B2674" t="str">
        <f t="shared" si="462"/>
        <v>21</v>
      </c>
      <c r="C2674" t="str">
        <f t="shared" si="463"/>
        <v>2020/21</v>
      </c>
      <c r="E2674" t="str">
        <f t="shared" si="464"/>
        <v/>
      </c>
      <c r="F2674" t="s">
        <v>32</v>
      </c>
      <c r="G2674" t="s">
        <v>30</v>
      </c>
      <c r="H2674">
        <v>12451.5</v>
      </c>
      <c r="I2674" t="str">
        <f>"Innovations Children's Centre"</f>
        <v>Innovations Children's Centre</v>
      </c>
      <c r="J2674" t="str">
        <f t="shared" si="470"/>
        <v>3 Year Old Funding Other Committees Other Committees Of The Council Agency And Contracted Services Nursery Grant Funding Childrens Services Unit</v>
      </c>
    </row>
    <row r="2675" spans="1:10" x14ac:dyDescent="0.35">
      <c r="A2675" t="str">
        <f t="shared" si="467"/>
        <v>MAR</v>
      </c>
      <c r="B2675" t="str">
        <f t="shared" ref="B2675:B2738" si="471">"21"</f>
        <v>21</v>
      </c>
      <c r="C2675" t="str">
        <f t="shared" si="463"/>
        <v>2020/21</v>
      </c>
      <c r="E2675" t="str">
        <f t="shared" si="464"/>
        <v/>
      </c>
      <c r="F2675" t="s">
        <v>32</v>
      </c>
      <c r="G2675" t="s">
        <v>30</v>
      </c>
      <c r="H2675">
        <v>13923.72</v>
      </c>
      <c r="I2675" t="str">
        <f>"Jubilee Children's Centre"</f>
        <v>Jubilee Children's Centre</v>
      </c>
      <c r="J2675" t="str">
        <f t="shared" si="470"/>
        <v>3 Year Old Funding Other Committees Other Committees Of The Council Agency And Contracted Services Nursery Grant Funding Childrens Services Unit</v>
      </c>
    </row>
    <row r="2676" spans="1:10" x14ac:dyDescent="0.35">
      <c r="A2676" t="str">
        <f t="shared" si="467"/>
        <v>MAR</v>
      </c>
      <c r="B2676" t="str">
        <f t="shared" si="471"/>
        <v>21</v>
      </c>
      <c r="C2676" t="str">
        <f t="shared" si="463"/>
        <v>2020/21</v>
      </c>
      <c r="E2676" t="str">
        <f t="shared" si="464"/>
        <v/>
      </c>
      <c r="F2676" t="s">
        <v>32</v>
      </c>
      <c r="G2676" t="s">
        <v>30</v>
      </c>
      <c r="H2676">
        <v>2851.2</v>
      </c>
      <c r="I2676" t="str">
        <f>"Ash Green Childrens Centre"</f>
        <v>Ash Green Childrens Centre</v>
      </c>
      <c r="J2676" t="str">
        <f t="shared" si="470"/>
        <v>3 Year Old Funding Other Committees Other Committees Of The Council Agency And Contracted Services Nursery Grant Funding Childrens Services Unit</v>
      </c>
    </row>
    <row r="2677" spans="1:10" x14ac:dyDescent="0.35">
      <c r="A2677" t="str">
        <f t="shared" si="467"/>
        <v>MAR</v>
      </c>
      <c r="B2677" t="str">
        <f t="shared" si="471"/>
        <v>21</v>
      </c>
      <c r="C2677" t="str">
        <f t="shared" si="463"/>
        <v>2020/21</v>
      </c>
      <c r="D2677" t="str">
        <f>"SC EY 218853"</f>
        <v>SC EY 218853</v>
      </c>
      <c r="E2677" t="str">
        <f t="shared" si="464"/>
        <v>SC</v>
      </c>
      <c r="F2677" t="s">
        <v>32</v>
      </c>
      <c r="G2677" t="s">
        <v>30</v>
      </c>
      <c r="H2677">
        <v>554.4</v>
      </c>
      <c r="I2677" t="str">
        <f>"Kevin Pearce Childrens Centre"</f>
        <v>Kevin Pearce Childrens Centre</v>
      </c>
      <c r="J2677" t="str">
        <f t="shared" si="470"/>
        <v>3 Year Old Funding Other Committees Other Committees Of The Council Agency And Contracted Services Nursery Grant Funding Childrens Services Unit</v>
      </c>
    </row>
    <row r="2678" spans="1:10" x14ac:dyDescent="0.35">
      <c r="A2678" t="str">
        <f t="shared" si="467"/>
        <v>MAR</v>
      </c>
      <c r="B2678" t="str">
        <f t="shared" si="471"/>
        <v>21</v>
      </c>
      <c r="C2678" t="str">
        <f t="shared" si="463"/>
        <v>2020/21</v>
      </c>
      <c r="E2678" t="str">
        <f t="shared" si="464"/>
        <v/>
      </c>
      <c r="F2678" t="s">
        <v>32</v>
      </c>
      <c r="G2678" t="s">
        <v>30</v>
      </c>
      <c r="H2678">
        <v>1944</v>
      </c>
      <c r="I2678" t="str">
        <f>"St Augustines Centre"</f>
        <v>St Augustines Centre</v>
      </c>
      <c r="J2678" t="str">
        <f t="shared" si="470"/>
        <v>3 Year Old Funding Other Committees Other Committees Of The Council Agency And Contracted Services Nursery Grant Funding Childrens Services Unit</v>
      </c>
    </row>
    <row r="2679" spans="1:10" x14ac:dyDescent="0.35">
      <c r="A2679" t="str">
        <f t="shared" si="467"/>
        <v>MAR</v>
      </c>
      <c r="B2679" t="str">
        <f t="shared" si="471"/>
        <v>21</v>
      </c>
      <c r="C2679" t="str">
        <f t="shared" si="463"/>
        <v>2020/21</v>
      </c>
      <c r="D2679" t="str">
        <f>"SC EY 218857"</f>
        <v>SC EY 218857</v>
      </c>
      <c r="E2679" t="str">
        <f t="shared" si="464"/>
        <v>SC</v>
      </c>
      <c r="F2679" t="s">
        <v>32</v>
      </c>
      <c r="G2679" t="s">
        <v>30</v>
      </c>
      <c r="H2679">
        <v>190.08</v>
      </c>
      <c r="I2679" t="str">
        <f>"Sowood Preschool &amp; Community Association"</f>
        <v>Sowood Preschool &amp; Community Association</v>
      </c>
      <c r="J2679" t="str">
        <f t="shared" si="470"/>
        <v>3 Year Old Funding Other Committees Other Committees Of The Council Agency And Contracted Services Nursery Grant Funding Childrens Services Unit</v>
      </c>
    </row>
    <row r="2680" spans="1:10" x14ac:dyDescent="0.35">
      <c r="A2680" t="str">
        <f t="shared" si="467"/>
        <v>MAR</v>
      </c>
      <c r="B2680" t="str">
        <f t="shared" si="471"/>
        <v>21</v>
      </c>
      <c r="C2680" t="str">
        <f t="shared" si="463"/>
        <v>2020/21</v>
      </c>
      <c r="D2680" t="str">
        <f>"SC EY 218856"</f>
        <v>SC EY 218856</v>
      </c>
      <c r="E2680" t="str">
        <f t="shared" si="464"/>
        <v>SC</v>
      </c>
      <c r="F2680" t="s">
        <v>32</v>
      </c>
      <c r="G2680" t="s">
        <v>30</v>
      </c>
      <c r="H2680">
        <v>554.4</v>
      </c>
      <c r="I2680" t="str">
        <f>"Siddal Children's Centre"</f>
        <v>Siddal Children's Centre</v>
      </c>
      <c r="J2680" t="str">
        <f t="shared" si="470"/>
        <v>3 Year Old Funding Other Committees Other Committees Of The Council Agency And Contracted Services Nursery Grant Funding Childrens Services Unit</v>
      </c>
    </row>
    <row r="2681" spans="1:10" x14ac:dyDescent="0.35">
      <c r="A2681" t="str">
        <f t="shared" si="467"/>
        <v>MAR</v>
      </c>
      <c r="B2681" t="str">
        <f t="shared" si="471"/>
        <v>21</v>
      </c>
      <c r="C2681" t="str">
        <f t="shared" si="463"/>
        <v>2020/21</v>
      </c>
      <c r="E2681" t="str">
        <f t="shared" si="464"/>
        <v/>
      </c>
      <c r="F2681" t="s">
        <v>32</v>
      </c>
      <c r="G2681" t="s">
        <v>30</v>
      </c>
      <c r="H2681">
        <v>1090.26</v>
      </c>
      <c r="I2681" t="str">
        <f>"Sticky Fingers Playgroup"</f>
        <v>Sticky Fingers Playgroup</v>
      </c>
      <c r="J2681" t="str">
        <f t="shared" si="470"/>
        <v>3 Year Old Funding Other Committees Other Committees Of The Council Agency And Contracted Services Nursery Grant Funding Childrens Services Unit</v>
      </c>
    </row>
    <row r="2682" spans="1:10" x14ac:dyDescent="0.35">
      <c r="A2682" t="str">
        <f t="shared" si="467"/>
        <v>MAR</v>
      </c>
      <c r="B2682" t="str">
        <f t="shared" si="471"/>
        <v>21</v>
      </c>
      <c r="C2682" t="str">
        <f t="shared" si="463"/>
        <v>2020/21</v>
      </c>
      <c r="D2682" t="str">
        <f>"SC EY 219091"</f>
        <v>SC EY 219091</v>
      </c>
      <c r="E2682" t="str">
        <f t="shared" si="464"/>
        <v>SC</v>
      </c>
      <c r="F2682" t="s">
        <v>32</v>
      </c>
      <c r="G2682" t="s">
        <v>30</v>
      </c>
      <c r="H2682">
        <v>1900.8</v>
      </c>
      <c r="I2682" t="str">
        <f>"Todmorden Children's Centre"</f>
        <v>Todmorden Children's Centre</v>
      </c>
      <c r="J2682" t="str">
        <f t="shared" si="470"/>
        <v>3 Year Old Funding Other Committees Other Committees Of The Council Agency And Contracted Services Nursery Grant Funding Childrens Services Unit</v>
      </c>
    </row>
    <row r="2683" spans="1:10" x14ac:dyDescent="0.35">
      <c r="A2683" t="str">
        <f t="shared" si="467"/>
        <v>MAR</v>
      </c>
      <c r="B2683" t="str">
        <f t="shared" si="471"/>
        <v>21</v>
      </c>
      <c r="C2683" t="str">
        <f t="shared" si="463"/>
        <v>2020/21</v>
      </c>
      <c r="E2683" t="str">
        <f t="shared" si="464"/>
        <v/>
      </c>
      <c r="F2683" t="s">
        <v>32</v>
      </c>
      <c r="G2683" t="s">
        <v>30</v>
      </c>
      <c r="H2683">
        <v>4757.3999999999996</v>
      </c>
      <c r="I2683" t="str">
        <f>"Todmorden Children's Centre"</f>
        <v>Todmorden Children's Centre</v>
      </c>
      <c r="J2683" t="str">
        <f t="shared" si="470"/>
        <v>3 Year Old Funding Other Committees Other Committees Of The Council Agency And Contracted Services Nursery Grant Funding Childrens Services Unit</v>
      </c>
    </row>
    <row r="2684" spans="1:10" x14ac:dyDescent="0.35">
      <c r="A2684" t="str">
        <f t="shared" si="467"/>
        <v>MAR</v>
      </c>
      <c r="B2684" t="str">
        <f t="shared" si="471"/>
        <v>21</v>
      </c>
      <c r="C2684" t="str">
        <f t="shared" si="463"/>
        <v>2020/21</v>
      </c>
      <c r="E2684" t="str">
        <f t="shared" si="464"/>
        <v/>
      </c>
      <c r="F2684" t="s">
        <v>32</v>
      </c>
      <c r="G2684" t="s">
        <v>30</v>
      </c>
      <c r="H2684">
        <v>2237.4</v>
      </c>
      <c r="I2684" t="str">
        <f>"Wellholme Children's Centre"</f>
        <v>Wellholme Children's Centre</v>
      </c>
      <c r="J2684" t="str">
        <f t="shared" si="470"/>
        <v>3 Year Old Funding Other Committees Other Committees Of The Council Agency And Contracted Services Nursery Grant Funding Childrens Services Unit</v>
      </c>
    </row>
    <row r="2685" spans="1:10" x14ac:dyDescent="0.35">
      <c r="A2685" t="str">
        <f t="shared" si="467"/>
        <v>MAR</v>
      </c>
      <c r="B2685" t="str">
        <f t="shared" si="471"/>
        <v>21</v>
      </c>
      <c r="C2685" t="str">
        <f t="shared" si="463"/>
        <v>2020/21</v>
      </c>
      <c r="D2685" t="str">
        <f>"SC CM 218982"</f>
        <v>SC CM 218982</v>
      </c>
      <c r="E2685" t="str">
        <f t="shared" si="464"/>
        <v>SC</v>
      </c>
      <c r="F2685" t="s">
        <v>33</v>
      </c>
      <c r="G2685" t="s">
        <v>30</v>
      </c>
      <c r="H2685">
        <v>282</v>
      </c>
      <c r="I2685" t="str">
        <f>"Jubilee Children's Centre"</f>
        <v>Jubilee Children's Centre</v>
      </c>
      <c r="J2685" t="str">
        <f>"Nursery Fees Services Supplies And Services Central and West &amp; Upper Valley CIN/CP (non staff) Childrens Care Services"</f>
        <v>Nursery Fees Services Supplies And Services Central and West &amp; Upper Valley CIN/CP (non staff) Childrens Care Services</v>
      </c>
    </row>
    <row r="2686" spans="1:10" x14ac:dyDescent="0.35">
      <c r="A2686" t="str">
        <f t="shared" si="467"/>
        <v>MAR</v>
      </c>
      <c r="B2686" t="str">
        <f t="shared" si="471"/>
        <v>21</v>
      </c>
      <c r="C2686" t="str">
        <f t="shared" si="463"/>
        <v>2020/21</v>
      </c>
      <c r="D2686" t="str">
        <f>"SC CM 218982"</f>
        <v>SC CM 218982</v>
      </c>
      <c r="E2686" t="str">
        <f t="shared" si="464"/>
        <v>SC</v>
      </c>
      <c r="F2686" t="s">
        <v>33</v>
      </c>
      <c r="G2686" t="s">
        <v>30</v>
      </c>
      <c r="H2686">
        <v>282</v>
      </c>
      <c r="I2686" t="str">
        <f>"Jubilee Children's Centre"</f>
        <v>Jubilee Children's Centre</v>
      </c>
      <c r="J2686" t="str">
        <f>"Nursery Fees Services Supplies And Services Central and West &amp; Upper Valley CIN/CP (non staff) Childrens Care Services"</f>
        <v>Nursery Fees Services Supplies And Services Central and West &amp; Upper Valley CIN/CP (non staff) Childrens Care Services</v>
      </c>
    </row>
    <row r="2687" spans="1:10" x14ac:dyDescent="0.35">
      <c r="A2687" t="str">
        <f t="shared" si="467"/>
        <v>MAR</v>
      </c>
      <c r="B2687" t="str">
        <f t="shared" si="471"/>
        <v>21</v>
      </c>
      <c r="C2687" t="str">
        <f t="shared" si="463"/>
        <v>2020/21</v>
      </c>
      <c r="D2687" t="str">
        <f>"SC CM 218772"</f>
        <v>SC CM 218772</v>
      </c>
      <c r="E2687" t="str">
        <f t="shared" si="464"/>
        <v>SC</v>
      </c>
      <c r="F2687" t="s">
        <v>33</v>
      </c>
      <c r="G2687" t="s">
        <v>30</v>
      </c>
      <c r="H2687">
        <v>80</v>
      </c>
      <c r="I2687" t="str">
        <f>"Greenhome Calderdale CIC"</f>
        <v>Greenhome Calderdale CIC</v>
      </c>
      <c r="J2687" t="str">
        <f>"Sect 17 (6) Children In Need - N L A (Other expenses) Miscellaneous Expenses Supplies And Services Central and West &amp; Upper Valley CIN/CP (non s"</f>
        <v>Sect 17 (6) Children In Need - N L A (Other expenses) Miscellaneous Expenses Supplies And Services Central and West &amp; Upper Valley CIN/CP (non s</v>
      </c>
    </row>
    <row r="2688" spans="1:10" x14ac:dyDescent="0.35">
      <c r="A2688" t="str">
        <f t="shared" si="467"/>
        <v>MAR</v>
      </c>
      <c r="B2688" t="str">
        <f t="shared" si="471"/>
        <v>21</v>
      </c>
      <c r="C2688" t="str">
        <f t="shared" si="463"/>
        <v>2020/21</v>
      </c>
      <c r="D2688" t="str">
        <f>"SC FS 219297"</f>
        <v>SC FS 219297</v>
      </c>
      <c r="E2688" t="str">
        <f t="shared" si="464"/>
        <v>SC</v>
      </c>
      <c r="F2688" t="s">
        <v>33</v>
      </c>
      <c r="G2688" t="s">
        <v>30</v>
      </c>
      <c r="H2688">
        <v>580</v>
      </c>
      <c r="I2688" t="str">
        <f>"Fostering Network"</f>
        <v>Fostering Network</v>
      </c>
      <c r="J2688" t="str">
        <f>"Recruitment of Carers Miscellaneous Expenses Supplies And Services Fostering Service Childrens Care Services"</f>
        <v>Recruitment of Carers Miscellaneous Expenses Supplies And Services Fostering Service Childrens Care Services</v>
      </c>
    </row>
    <row r="2689" spans="1:10" x14ac:dyDescent="0.35">
      <c r="A2689" t="str">
        <f t="shared" si="467"/>
        <v>MAR</v>
      </c>
      <c r="B2689" t="str">
        <f t="shared" si="471"/>
        <v>21</v>
      </c>
      <c r="C2689" t="str">
        <f t="shared" si="463"/>
        <v>2020/21</v>
      </c>
      <c r="D2689" t="str">
        <f>"SC PF 215456"</f>
        <v>SC PF 215456</v>
      </c>
      <c r="E2689" t="str">
        <f t="shared" si="464"/>
        <v>SC</v>
      </c>
      <c r="F2689" t="s">
        <v>33</v>
      </c>
      <c r="G2689" t="s">
        <v>30</v>
      </c>
      <c r="H2689">
        <v>3263.76</v>
      </c>
      <c r="I2689" t="str">
        <f t="shared" ref="I2689:I2700" si="472">"Barnardos (Fostering &amp; Adoption)"</f>
        <v>Barnardos (Fostering &amp; Adoption)</v>
      </c>
      <c r="J2689" t="str">
        <f t="shared" ref="J2689:J2702" si="473">"Purchased Placements Private Contractors Agency And Contracted Services Purchased Foster Care Childrens Care Services"</f>
        <v>Purchased Placements Private Contractors Agency And Contracted Services Purchased Foster Care Childrens Care Services</v>
      </c>
    </row>
    <row r="2690" spans="1:10" x14ac:dyDescent="0.35">
      <c r="A2690" t="str">
        <f t="shared" si="467"/>
        <v>MAR</v>
      </c>
      <c r="B2690" t="str">
        <f t="shared" si="471"/>
        <v>21</v>
      </c>
      <c r="C2690" t="str">
        <f t="shared" ref="C2690:C2753" si="474">"2020/21"</f>
        <v>2020/21</v>
      </c>
      <c r="D2690" t="str">
        <f>"SC PF 215456"</f>
        <v>SC PF 215456</v>
      </c>
      <c r="E2690" t="str">
        <f t="shared" ref="E2690:E2753" si="475">LEFT(D2690,2)</f>
        <v>SC</v>
      </c>
      <c r="F2690" t="s">
        <v>33</v>
      </c>
      <c r="G2690" t="s">
        <v>30</v>
      </c>
      <c r="H2690">
        <v>40</v>
      </c>
      <c r="I2690" t="str">
        <f t="shared" si="472"/>
        <v>Barnardos (Fostering &amp; Adoption)</v>
      </c>
      <c r="J2690" t="str">
        <f t="shared" si="473"/>
        <v>Purchased Placements Private Contractors Agency And Contracted Services Purchased Foster Care Childrens Care Services</v>
      </c>
    </row>
    <row r="2691" spans="1:10" x14ac:dyDescent="0.35">
      <c r="A2691" t="str">
        <f t="shared" si="467"/>
        <v>MAR</v>
      </c>
      <c r="B2691" t="str">
        <f t="shared" si="471"/>
        <v>21</v>
      </c>
      <c r="C2691" t="str">
        <f t="shared" si="474"/>
        <v>2020/21</v>
      </c>
      <c r="D2691" t="str">
        <f>"SC PF 215456"</f>
        <v>SC PF 215456</v>
      </c>
      <c r="E2691" t="str">
        <f t="shared" si="475"/>
        <v>SC</v>
      </c>
      <c r="F2691" t="s">
        <v>33</v>
      </c>
      <c r="G2691" t="s">
        <v>30</v>
      </c>
      <c r="H2691">
        <v>116.56</v>
      </c>
      <c r="I2691" t="str">
        <f t="shared" si="472"/>
        <v>Barnardos (Fostering &amp; Adoption)</v>
      </c>
      <c r="J2691" t="str">
        <f t="shared" si="473"/>
        <v>Purchased Placements Private Contractors Agency And Contracted Services Purchased Foster Care Childrens Care Services</v>
      </c>
    </row>
    <row r="2692" spans="1:10" x14ac:dyDescent="0.35">
      <c r="A2692" t="str">
        <f t="shared" si="467"/>
        <v>MAR</v>
      </c>
      <c r="B2692" t="str">
        <f t="shared" si="471"/>
        <v>21</v>
      </c>
      <c r="C2692" t="str">
        <f t="shared" si="474"/>
        <v>2020/21</v>
      </c>
      <c r="D2692" t="str">
        <f>"SC PF 218869"</f>
        <v>SC PF 218869</v>
      </c>
      <c r="E2692" t="str">
        <f t="shared" si="475"/>
        <v>SC</v>
      </c>
      <c r="F2692" t="s">
        <v>33</v>
      </c>
      <c r="G2692" t="s">
        <v>30</v>
      </c>
      <c r="H2692">
        <v>525.86</v>
      </c>
      <c r="I2692" t="str">
        <f t="shared" si="472"/>
        <v>Barnardos (Fostering &amp; Adoption)</v>
      </c>
      <c r="J2692" t="str">
        <f t="shared" si="473"/>
        <v>Purchased Placements Private Contractors Agency And Contracted Services Purchased Foster Care Childrens Care Services</v>
      </c>
    </row>
    <row r="2693" spans="1:10" x14ac:dyDescent="0.35">
      <c r="A2693" t="str">
        <f t="shared" si="467"/>
        <v>MAR</v>
      </c>
      <c r="B2693" t="str">
        <f t="shared" si="471"/>
        <v>21</v>
      </c>
      <c r="C2693" t="str">
        <f t="shared" si="474"/>
        <v>2020/21</v>
      </c>
      <c r="D2693" t="str">
        <f>"SC PF 215479"</f>
        <v>SC PF 215479</v>
      </c>
      <c r="E2693" t="str">
        <f t="shared" si="475"/>
        <v>SC</v>
      </c>
      <c r="F2693" t="s">
        <v>33</v>
      </c>
      <c r="G2693" t="s">
        <v>30</v>
      </c>
      <c r="H2693">
        <v>3057.6</v>
      </c>
      <c r="I2693" t="str">
        <f t="shared" si="472"/>
        <v>Barnardos (Fostering &amp; Adoption)</v>
      </c>
      <c r="J2693" t="str">
        <f t="shared" si="473"/>
        <v>Purchased Placements Private Contractors Agency And Contracted Services Purchased Foster Care Childrens Care Services</v>
      </c>
    </row>
    <row r="2694" spans="1:10" x14ac:dyDescent="0.35">
      <c r="A2694" t="str">
        <f t="shared" si="467"/>
        <v>MAR</v>
      </c>
      <c r="B2694" t="str">
        <f t="shared" si="471"/>
        <v>21</v>
      </c>
      <c r="C2694" t="str">
        <f t="shared" si="474"/>
        <v>2020/21</v>
      </c>
      <c r="D2694" t="str">
        <f t="shared" ref="D2694:D2699" si="476">"SC PF 215456"</f>
        <v>SC PF 215456</v>
      </c>
      <c r="E2694" t="str">
        <f t="shared" si="475"/>
        <v>SC</v>
      </c>
      <c r="F2694" t="s">
        <v>33</v>
      </c>
      <c r="G2694" t="s">
        <v>30</v>
      </c>
      <c r="H2694">
        <v>670.02</v>
      </c>
      <c r="I2694" t="str">
        <f t="shared" si="472"/>
        <v>Barnardos (Fostering &amp; Adoption)</v>
      </c>
      <c r="J2694" t="str">
        <f t="shared" si="473"/>
        <v>Purchased Placements Private Contractors Agency And Contracted Services Purchased Foster Care Childrens Care Services</v>
      </c>
    </row>
    <row r="2695" spans="1:10" x14ac:dyDescent="0.35">
      <c r="A2695" t="str">
        <f t="shared" si="467"/>
        <v>MAR</v>
      </c>
      <c r="B2695" t="str">
        <f t="shared" si="471"/>
        <v>21</v>
      </c>
      <c r="C2695" t="str">
        <f t="shared" si="474"/>
        <v>2020/21</v>
      </c>
      <c r="D2695" t="str">
        <f t="shared" si="476"/>
        <v>SC PF 215456</v>
      </c>
      <c r="E2695" t="str">
        <f t="shared" si="475"/>
        <v>SC</v>
      </c>
      <c r="F2695" t="s">
        <v>33</v>
      </c>
      <c r="G2695" t="s">
        <v>30</v>
      </c>
      <c r="H2695">
        <v>3613.45</v>
      </c>
      <c r="I2695" t="str">
        <f t="shared" si="472"/>
        <v>Barnardos (Fostering &amp; Adoption)</v>
      </c>
      <c r="J2695" t="str">
        <f t="shared" si="473"/>
        <v>Purchased Placements Private Contractors Agency And Contracted Services Purchased Foster Care Childrens Care Services</v>
      </c>
    </row>
    <row r="2696" spans="1:10" x14ac:dyDescent="0.35">
      <c r="A2696" t="str">
        <f t="shared" si="467"/>
        <v>MAR</v>
      </c>
      <c r="B2696" t="str">
        <f t="shared" si="471"/>
        <v>21</v>
      </c>
      <c r="C2696" t="str">
        <f t="shared" si="474"/>
        <v>2020/21</v>
      </c>
      <c r="D2696" t="str">
        <f t="shared" si="476"/>
        <v>SC PF 215456</v>
      </c>
      <c r="E2696" t="str">
        <f t="shared" si="475"/>
        <v>SC</v>
      </c>
      <c r="F2696" t="s">
        <v>33</v>
      </c>
      <c r="G2696" t="s">
        <v>30</v>
      </c>
      <c r="H2696">
        <v>3613.45</v>
      </c>
      <c r="I2696" t="str">
        <f t="shared" si="472"/>
        <v>Barnardos (Fostering &amp; Adoption)</v>
      </c>
      <c r="J2696" t="str">
        <f t="shared" si="473"/>
        <v>Purchased Placements Private Contractors Agency And Contracted Services Purchased Foster Care Childrens Care Services</v>
      </c>
    </row>
    <row r="2697" spans="1:10" x14ac:dyDescent="0.35">
      <c r="A2697" t="str">
        <f t="shared" si="467"/>
        <v>MAR</v>
      </c>
      <c r="B2697" t="str">
        <f t="shared" si="471"/>
        <v>21</v>
      </c>
      <c r="C2697" t="str">
        <f t="shared" si="474"/>
        <v>2020/21</v>
      </c>
      <c r="D2697" t="str">
        <f t="shared" si="476"/>
        <v>SC PF 215456</v>
      </c>
      <c r="E2697" t="str">
        <f t="shared" si="475"/>
        <v>SC</v>
      </c>
      <c r="F2697" t="s">
        <v>33</v>
      </c>
      <c r="G2697" t="s">
        <v>30</v>
      </c>
      <c r="H2697">
        <v>-5.51</v>
      </c>
      <c r="I2697" t="str">
        <f t="shared" si="472"/>
        <v>Barnardos (Fostering &amp; Adoption)</v>
      </c>
      <c r="J2697" t="str">
        <f t="shared" si="473"/>
        <v>Purchased Placements Private Contractors Agency And Contracted Services Purchased Foster Care Childrens Care Services</v>
      </c>
    </row>
    <row r="2698" spans="1:10" x14ac:dyDescent="0.35">
      <c r="A2698" t="str">
        <f t="shared" ref="A2698:A2761" si="477">"MAR"</f>
        <v>MAR</v>
      </c>
      <c r="B2698" t="str">
        <f t="shared" si="471"/>
        <v>21</v>
      </c>
      <c r="C2698" t="str">
        <f t="shared" si="474"/>
        <v>2020/21</v>
      </c>
      <c r="D2698" t="str">
        <f t="shared" si="476"/>
        <v>SC PF 215456</v>
      </c>
      <c r="E2698" t="str">
        <f t="shared" si="475"/>
        <v>SC</v>
      </c>
      <c r="F2698" t="s">
        <v>33</v>
      </c>
      <c r="G2698" t="s">
        <v>30</v>
      </c>
      <c r="H2698">
        <v>233.12</v>
      </c>
      <c r="I2698" t="str">
        <f t="shared" si="472"/>
        <v>Barnardos (Fostering &amp; Adoption)</v>
      </c>
      <c r="J2698" t="str">
        <f t="shared" si="473"/>
        <v>Purchased Placements Private Contractors Agency And Contracted Services Purchased Foster Care Childrens Care Services</v>
      </c>
    </row>
    <row r="2699" spans="1:10" x14ac:dyDescent="0.35">
      <c r="A2699" t="str">
        <f t="shared" si="477"/>
        <v>MAR</v>
      </c>
      <c r="B2699" t="str">
        <f t="shared" si="471"/>
        <v>21</v>
      </c>
      <c r="C2699" t="str">
        <f t="shared" si="474"/>
        <v>2020/21</v>
      </c>
      <c r="D2699" t="str">
        <f t="shared" si="476"/>
        <v>SC PF 215456</v>
      </c>
      <c r="E2699" t="str">
        <f t="shared" si="475"/>
        <v>SC</v>
      </c>
      <c r="F2699" t="s">
        <v>33</v>
      </c>
      <c r="G2699" t="s">
        <v>30</v>
      </c>
      <c r="H2699">
        <v>640</v>
      </c>
      <c r="I2699" t="str">
        <f t="shared" si="472"/>
        <v>Barnardos (Fostering &amp; Adoption)</v>
      </c>
      <c r="J2699" t="str">
        <f t="shared" si="473"/>
        <v>Purchased Placements Private Contractors Agency And Contracted Services Purchased Foster Care Childrens Care Services</v>
      </c>
    </row>
    <row r="2700" spans="1:10" x14ac:dyDescent="0.35">
      <c r="A2700" t="str">
        <f t="shared" si="477"/>
        <v>MAR</v>
      </c>
      <c r="B2700" t="str">
        <f t="shared" si="471"/>
        <v>21</v>
      </c>
      <c r="C2700" t="str">
        <f t="shared" si="474"/>
        <v>2020/21</v>
      </c>
      <c r="D2700" t="str">
        <f>"SC PF 215478"</f>
        <v>SC PF 215478</v>
      </c>
      <c r="E2700" t="str">
        <f t="shared" si="475"/>
        <v>SC</v>
      </c>
      <c r="F2700" t="s">
        <v>33</v>
      </c>
      <c r="G2700" t="s">
        <v>30</v>
      </c>
      <c r="H2700">
        <v>3057.6</v>
      </c>
      <c r="I2700" t="str">
        <f t="shared" si="472"/>
        <v>Barnardos (Fostering &amp; Adoption)</v>
      </c>
      <c r="J2700" t="str">
        <f t="shared" si="473"/>
        <v>Purchased Placements Private Contractors Agency And Contracted Services Purchased Foster Care Childrens Care Services</v>
      </c>
    </row>
    <row r="2701" spans="1:10" x14ac:dyDescent="0.35">
      <c r="A2701" t="str">
        <f t="shared" si="477"/>
        <v>MAR</v>
      </c>
      <c r="B2701" t="str">
        <f t="shared" si="471"/>
        <v>21</v>
      </c>
      <c r="C2701" t="str">
        <f t="shared" si="474"/>
        <v>2020/21</v>
      </c>
      <c r="D2701" t="str">
        <f>"SC PF 215529"</f>
        <v>SC PF 215529</v>
      </c>
      <c r="E2701" t="str">
        <f t="shared" si="475"/>
        <v>SC</v>
      </c>
      <c r="F2701" t="s">
        <v>33</v>
      </c>
      <c r="G2701" t="s">
        <v>30</v>
      </c>
      <c r="H2701">
        <v>2930.48</v>
      </c>
      <c r="I2701" t="str">
        <f>"The Childrens Family Trust"</f>
        <v>The Childrens Family Trust</v>
      </c>
      <c r="J2701" t="str">
        <f t="shared" si="473"/>
        <v>Purchased Placements Private Contractors Agency And Contracted Services Purchased Foster Care Childrens Care Services</v>
      </c>
    </row>
    <row r="2702" spans="1:10" x14ac:dyDescent="0.35">
      <c r="A2702" t="str">
        <f t="shared" si="477"/>
        <v>MAR</v>
      </c>
      <c r="B2702" t="str">
        <f t="shared" si="471"/>
        <v>21</v>
      </c>
      <c r="C2702" t="str">
        <f t="shared" si="474"/>
        <v>2020/21</v>
      </c>
      <c r="D2702" t="str">
        <f>"SC PF 215529"</f>
        <v>SC PF 215529</v>
      </c>
      <c r="E2702" t="str">
        <f t="shared" si="475"/>
        <v>SC</v>
      </c>
      <c r="F2702" t="s">
        <v>33</v>
      </c>
      <c r="G2702" t="s">
        <v>30</v>
      </c>
      <c r="H2702">
        <v>3244.46</v>
      </c>
      <c r="I2702" t="str">
        <f>"The Childrens Family Trust"</f>
        <v>The Childrens Family Trust</v>
      </c>
      <c r="J2702" t="str">
        <f t="shared" si="473"/>
        <v>Purchased Placements Private Contractors Agency And Contracted Services Purchased Foster Care Childrens Care Services</v>
      </c>
    </row>
    <row r="2703" spans="1:10" x14ac:dyDescent="0.35">
      <c r="A2703" t="str">
        <f t="shared" si="477"/>
        <v>MAR</v>
      </c>
      <c r="B2703" t="str">
        <f t="shared" si="471"/>
        <v>21</v>
      </c>
      <c r="C2703" t="str">
        <f t="shared" si="474"/>
        <v>2020/21</v>
      </c>
      <c r="D2703" t="str">
        <f>"SS CO 112753"</f>
        <v>SS CO 112753</v>
      </c>
      <c r="E2703" t="str">
        <f t="shared" si="475"/>
        <v>SS</v>
      </c>
      <c r="F2703" t="s">
        <v>25</v>
      </c>
      <c r="G2703" t="s">
        <v>22</v>
      </c>
      <c r="H2703">
        <v>26250</v>
      </c>
      <c r="I2703" t="str">
        <f>"Calderdale Smartmove"</f>
        <v>Calderdale Smartmove</v>
      </c>
      <c r="J2703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2704" spans="1:10" x14ac:dyDescent="0.35">
      <c r="A2704" t="str">
        <f t="shared" si="477"/>
        <v>MAR</v>
      </c>
      <c r="B2704" t="str">
        <f t="shared" si="471"/>
        <v>21</v>
      </c>
      <c r="C2704" t="str">
        <f t="shared" si="474"/>
        <v>2020/21</v>
      </c>
      <c r="D2704" t="str">
        <f>"SS CO 112753"</f>
        <v>SS CO 112753</v>
      </c>
      <c r="E2704" t="str">
        <f t="shared" si="475"/>
        <v>SS</v>
      </c>
      <c r="F2704" t="s">
        <v>25</v>
      </c>
      <c r="G2704" t="s">
        <v>22</v>
      </c>
      <c r="H2704">
        <v>26250</v>
      </c>
      <c r="I2704" t="str">
        <f>"Calderdale Smartmove"</f>
        <v>Calderdale Smartmove</v>
      </c>
      <c r="J2704" t="str">
        <f>"Short Stay Services (Vol / Non-Profit) Voluntary Associations Agency And Contracted Services Housing Related Support Adult Health &amp; Social Care"</f>
        <v>Short Stay Services (Vol / Non-Profit) Voluntary Associations Agency And Contracted Services Housing Related Support Adult Health &amp; Social Care</v>
      </c>
    </row>
    <row r="2705" spans="1:10" x14ac:dyDescent="0.35">
      <c r="A2705" t="str">
        <f t="shared" si="477"/>
        <v>MAR</v>
      </c>
      <c r="B2705" t="str">
        <f t="shared" si="471"/>
        <v>21</v>
      </c>
      <c r="C2705" t="str">
        <f t="shared" si="474"/>
        <v>2020/21</v>
      </c>
      <c r="D2705" t="str">
        <f>"SS SL 114876"</f>
        <v>SS SL 114876</v>
      </c>
      <c r="E2705" t="str">
        <f t="shared" si="475"/>
        <v>SS</v>
      </c>
      <c r="F2705" t="s">
        <v>25</v>
      </c>
      <c r="G2705" t="s">
        <v>22</v>
      </c>
      <c r="H2705">
        <v>5328.6</v>
      </c>
      <c r="I2705" t="str">
        <f t="shared" ref="I2705:I2715" si="478">"Mencap Northern Division"</f>
        <v>Mencap Northern Division</v>
      </c>
      <c r="J2705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2706" spans="1:10" x14ac:dyDescent="0.35">
      <c r="A2706" t="str">
        <f t="shared" si="477"/>
        <v>MAR</v>
      </c>
      <c r="B2706" t="str">
        <f t="shared" si="471"/>
        <v>21</v>
      </c>
      <c r="C2706" t="str">
        <f t="shared" si="474"/>
        <v>2020/21</v>
      </c>
      <c r="D2706" t="str">
        <f>"SS SL 114876"</f>
        <v>SS SL 114876</v>
      </c>
      <c r="E2706" t="str">
        <f t="shared" si="475"/>
        <v>SS</v>
      </c>
      <c r="F2706" t="s">
        <v>25</v>
      </c>
      <c r="G2706" t="s">
        <v>22</v>
      </c>
      <c r="H2706">
        <v>4415.6000000000004</v>
      </c>
      <c r="I2706" t="str">
        <f t="shared" si="478"/>
        <v>Mencap Northern Division</v>
      </c>
      <c r="J2706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2707" spans="1:10" x14ac:dyDescent="0.35">
      <c r="A2707" t="str">
        <f t="shared" si="477"/>
        <v>MAR</v>
      </c>
      <c r="B2707" t="str">
        <f t="shared" si="471"/>
        <v>21</v>
      </c>
      <c r="C2707" t="str">
        <f t="shared" si="474"/>
        <v>2020/21</v>
      </c>
      <c r="D2707" t="str">
        <f>"SS SL 114876"</f>
        <v>SS SL 114876</v>
      </c>
      <c r="E2707" t="str">
        <f t="shared" si="475"/>
        <v>SS</v>
      </c>
      <c r="F2707" t="s">
        <v>25</v>
      </c>
      <c r="G2707" t="s">
        <v>22</v>
      </c>
      <c r="H2707">
        <v>2284.8000000000002</v>
      </c>
      <c r="I2707" t="str">
        <f t="shared" si="478"/>
        <v>Mencap Northern Division</v>
      </c>
      <c r="J2707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2708" spans="1:10" x14ac:dyDescent="0.35">
      <c r="A2708" t="str">
        <f t="shared" si="477"/>
        <v>MAR</v>
      </c>
      <c r="B2708" t="str">
        <f t="shared" si="471"/>
        <v>21</v>
      </c>
      <c r="C2708" t="str">
        <f t="shared" si="474"/>
        <v>2020/21</v>
      </c>
      <c r="D2708" t="str">
        <f>"SS SL 114876"</f>
        <v>SS SL 114876</v>
      </c>
      <c r="E2708" t="str">
        <f t="shared" si="475"/>
        <v>SS</v>
      </c>
      <c r="F2708" t="s">
        <v>25</v>
      </c>
      <c r="G2708" t="s">
        <v>22</v>
      </c>
      <c r="H2708">
        <v>2284.8000000000002</v>
      </c>
      <c r="I2708" t="str">
        <f t="shared" si="478"/>
        <v>Mencap Northern Division</v>
      </c>
      <c r="J2708" t="str">
        <f>"Princess Street (Mencap) Voluntary Associations Agency And Contracted Services Supported Living Adult Health &amp; Social Care"</f>
        <v>Princess Street (Mencap) Voluntary Associations Agency And Contracted Services Supported Living Adult Health &amp; Social Care</v>
      </c>
    </row>
    <row r="2709" spans="1:10" x14ac:dyDescent="0.35">
      <c r="A2709" t="str">
        <f t="shared" si="477"/>
        <v>MAR</v>
      </c>
      <c r="B2709" t="str">
        <f t="shared" si="471"/>
        <v>21</v>
      </c>
      <c r="C2709" t="str">
        <f t="shared" si="474"/>
        <v>2020/21</v>
      </c>
      <c r="D2709" t="str">
        <f t="shared" ref="D2709:D2715" si="479">"SS SL 114875"</f>
        <v>SS SL 114875</v>
      </c>
      <c r="E2709" t="str">
        <f t="shared" si="475"/>
        <v>SS</v>
      </c>
      <c r="F2709" t="s">
        <v>25</v>
      </c>
      <c r="G2709" t="s">
        <v>22</v>
      </c>
      <c r="H2709">
        <v>1859.2</v>
      </c>
      <c r="I2709" t="str">
        <f t="shared" si="478"/>
        <v>Mencap Northern Division</v>
      </c>
      <c r="J2709" t="str">
        <f t="shared" ref="J2709:J2715" si="480">"Forest House (Mencap) Voluntary Associations Agency And Contracted Services Supported Living Adult Health &amp; Social Care"</f>
        <v>Forest House (Mencap) Voluntary Associations Agency And Contracted Services Supported Living Adult Health &amp; Social Care</v>
      </c>
    </row>
    <row r="2710" spans="1:10" x14ac:dyDescent="0.35">
      <c r="A2710" t="str">
        <f t="shared" si="477"/>
        <v>MAR</v>
      </c>
      <c r="B2710" t="str">
        <f t="shared" si="471"/>
        <v>21</v>
      </c>
      <c r="C2710" t="str">
        <f t="shared" si="474"/>
        <v>2020/21</v>
      </c>
      <c r="D2710" t="str">
        <f t="shared" si="479"/>
        <v>SS SL 114875</v>
      </c>
      <c r="E2710" t="str">
        <f t="shared" si="475"/>
        <v>SS</v>
      </c>
      <c r="F2710" t="s">
        <v>25</v>
      </c>
      <c r="G2710" t="s">
        <v>22</v>
      </c>
      <c r="H2710">
        <v>2284.8000000000002</v>
      </c>
      <c r="I2710" t="str">
        <f t="shared" si="478"/>
        <v>Mencap Northern Division</v>
      </c>
      <c r="J2710" t="str">
        <f t="shared" si="480"/>
        <v>Forest House (Mencap) Voluntary Associations Agency And Contracted Services Supported Living Adult Health &amp; Social Care</v>
      </c>
    </row>
    <row r="2711" spans="1:10" x14ac:dyDescent="0.35">
      <c r="A2711" t="str">
        <f t="shared" si="477"/>
        <v>MAR</v>
      </c>
      <c r="B2711" t="str">
        <f t="shared" si="471"/>
        <v>21</v>
      </c>
      <c r="C2711" t="str">
        <f t="shared" si="474"/>
        <v>2020/21</v>
      </c>
      <c r="D2711" t="str">
        <f t="shared" si="479"/>
        <v>SS SL 114875</v>
      </c>
      <c r="E2711" t="str">
        <f t="shared" si="475"/>
        <v>SS</v>
      </c>
      <c r="F2711" t="s">
        <v>25</v>
      </c>
      <c r="G2711" t="s">
        <v>22</v>
      </c>
      <c r="H2711">
        <v>2606.1999999999998</v>
      </c>
      <c r="I2711" t="str">
        <f t="shared" si="478"/>
        <v>Mencap Northern Division</v>
      </c>
      <c r="J2711" t="str">
        <f t="shared" si="480"/>
        <v>Forest House (Mencap) Voluntary Associations Agency And Contracted Services Supported Living Adult Health &amp; Social Care</v>
      </c>
    </row>
    <row r="2712" spans="1:10" x14ac:dyDescent="0.35">
      <c r="A2712" t="str">
        <f t="shared" si="477"/>
        <v>MAR</v>
      </c>
      <c r="B2712" t="str">
        <f t="shared" si="471"/>
        <v>21</v>
      </c>
      <c r="C2712" t="str">
        <f t="shared" si="474"/>
        <v>2020/21</v>
      </c>
      <c r="D2712" t="str">
        <f t="shared" si="479"/>
        <v>SS SL 114875</v>
      </c>
      <c r="E2712" t="str">
        <f t="shared" si="475"/>
        <v>SS</v>
      </c>
      <c r="F2712" t="s">
        <v>25</v>
      </c>
      <c r="G2712" t="s">
        <v>22</v>
      </c>
      <c r="H2712">
        <v>2207.8000000000002</v>
      </c>
      <c r="I2712" t="str">
        <f t="shared" si="478"/>
        <v>Mencap Northern Division</v>
      </c>
      <c r="J2712" t="str">
        <f t="shared" si="480"/>
        <v>Forest House (Mencap) Voluntary Associations Agency And Contracted Services Supported Living Adult Health &amp; Social Care</v>
      </c>
    </row>
    <row r="2713" spans="1:10" x14ac:dyDescent="0.35">
      <c r="A2713" t="str">
        <f t="shared" si="477"/>
        <v>MAR</v>
      </c>
      <c r="B2713" t="str">
        <f t="shared" si="471"/>
        <v>21</v>
      </c>
      <c r="C2713" t="str">
        <f t="shared" si="474"/>
        <v>2020/21</v>
      </c>
      <c r="D2713" t="str">
        <f t="shared" si="479"/>
        <v>SS SL 114875</v>
      </c>
      <c r="E2713" t="str">
        <f t="shared" si="475"/>
        <v>SS</v>
      </c>
      <c r="F2713" t="s">
        <v>25</v>
      </c>
      <c r="G2713" t="s">
        <v>22</v>
      </c>
      <c r="H2713">
        <v>4</v>
      </c>
      <c r="I2713" t="str">
        <f t="shared" si="478"/>
        <v>Mencap Northern Division</v>
      </c>
      <c r="J2713" t="str">
        <f t="shared" si="480"/>
        <v>Forest House (Mencap) Voluntary Associations Agency And Contracted Services Supported Living Adult Health &amp; Social Care</v>
      </c>
    </row>
    <row r="2714" spans="1:10" x14ac:dyDescent="0.35">
      <c r="A2714" t="str">
        <f t="shared" si="477"/>
        <v>MAR</v>
      </c>
      <c r="B2714" t="str">
        <f t="shared" si="471"/>
        <v>21</v>
      </c>
      <c r="C2714" t="str">
        <f t="shared" si="474"/>
        <v>2020/21</v>
      </c>
      <c r="D2714" t="str">
        <f t="shared" si="479"/>
        <v>SS SL 114875</v>
      </c>
      <c r="E2714" t="str">
        <f t="shared" si="475"/>
        <v>SS</v>
      </c>
      <c r="F2714" t="s">
        <v>25</v>
      </c>
      <c r="G2714" t="s">
        <v>22</v>
      </c>
      <c r="H2714">
        <v>1859.2</v>
      </c>
      <c r="I2714" t="str">
        <f t="shared" si="478"/>
        <v>Mencap Northern Division</v>
      </c>
      <c r="J2714" t="str">
        <f t="shared" si="480"/>
        <v>Forest House (Mencap) Voluntary Associations Agency And Contracted Services Supported Living Adult Health &amp; Social Care</v>
      </c>
    </row>
    <row r="2715" spans="1:10" x14ac:dyDescent="0.35">
      <c r="A2715" t="str">
        <f t="shared" si="477"/>
        <v>MAR</v>
      </c>
      <c r="B2715" t="str">
        <f t="shared" si="471"/>
        <v>21</v>
      </c>
      <c r="C2715" t="str">
        <f t="shared" si="474"/>
        <v>2020/21</v>
      </c>
      <c r="D2715" t="str">
        <f t="shared" si="479"/>
        <v>SS SL 114875</v>
      </c>
      <c r="E2715" t="str">
        <f t="shared" si="475"/>
        <v>SS</v>
      </c>
      <c r="F2715" t="s">
        <v>25</v>
      </c>
      <c r="G2715" t="s">
        <v>22</v>
      </c>
      <c r="H2715">
        <v>1859.2</v>
      </c>
      <c r="I2715" t="str">
        <f t="shared" si="478"/>
        <v>Mencap Northern Division</v>
      </c>
      <c r="J2715" t="str">
        <f t="shared" si="480"/>
        <v>Forest House (Mencap) Voluntary Associations Agency And Contracted Services Supported Living Adult Health &amp; Social Care</v>
      </c>
    </row>
    <row r="2716" spans="1:10" x14ac:dyDescent="0.35">
      <c r="A2716" t="str">
        <f t="shared" si="477"/>
        <v>MAR</v>
      </c>
      <c r="B2716" t="str">
        <f t="shared" si="471"/>
        <v>21</v>
      </c>
      <c r="C2716" t="str">
        <f t="shared" si="474"/>
        <v>2020/21</v>
      </c>
      <c r="D2716" t="str">
        <f>"SS SL 113560"</f>
        <v>SS SL 113560</v>
      </c>
      <c r="E2716" t="str">
        <f t="shared" si="475"/>
        <v>SS</v>
      </c>
      <c r="F2716" t="s">
        <v>25</v>
      </c>
      <c r="G2716" t="s">
        <v>22</v>
      </c>
      <c r="H2716">
        <v>2639.96</v>
      </c>
      <c r="I2716" t="str">
        <f>"Camphill Village Trust"</f>
        <v>Camphill Village Trust</v>
      </c>
      <c r="J2716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2717" spans="1:10" x14ac:dyDescent="0.35">
      <c r="A2717" t="str">
        <f t="shared" si="477"/>
        <v>MAR</v>
      </c>
      <c r="B2717" t="str">
        <f t="shared" si="471"/>
        <v>21</v>
      </c>
      <c r="C2717" t="str">
        <f t="shared" si="474"/>
        <v>2020/21</v>
      </c>
      <c r="D2717" t="str">
        <f>"SS SL 113560"</f>
        <v>SS SL 113560</v>
      </c>
      <c r="E2717" t="str">
        <f t="shared" si="475"/>
        <v>SS</v>
      </c>
      <c r="F2717" t="s">
        <v>25</v>
      </c>
      <c r="G2717" t="s">
        <v>22</v>
      </c>
      <c r="H2717">
        <v>2639.96</v>
      </c>
      <c r="I2717" t="str">
        <f>"Camphill Village Trust"</f>
        <v>Camphill Village Trust</v>
      </c>
      <c r="J2717" t="str">
        <f>"Camphill Village Voluntary Associations Agency And Contracted Services Supported Living Adult Health &amp; Social Care"</f>
        <v>Camphill Village Voluntary Associations Agency And Contracted Services Supported Living Adult Health &amp; Social Care</v>
      </c>
    </row>
    <row r="2718" spans="1:10" x14ac:dyDescent="0.35">
      <c r="A2718" t="str">
        <f t="shared" si="477"/>
        <v>MAR</v>
      </c>
      <c r="B2718" t="str">
        <f t="shared" si="471"/>
        <v>21</v>
      </c>
      <c r="C2718" t="str">
        <f t="shared" si="474"/>
        <v>2020/21</v>
      </c>
      <c r="D2718" t="str">
        <f t="shared" ref="D2718:D2723" si="481">"SS SL 114909"</f>
        <v>SS SL 114909</v>
      </c>
      <c r="E2718" t="str">
        <f t="shared" si="475"/>
        <v>SS</v>
      </c>
      <c r="F2718" t="s">
        <v>25</v>
      </c>
      <c r="G2718" t="s">
        <v>22</v>
      </c>
      <c r="H2718">
        <v>3206</v>
      </c>
      <c r="I2718" t="str">
        <f t="shared" ref="I2718:I2731" si="482">"Possabilities CIC"</f>
        <v>Possabilities CIC</v>
      </c>
      <c r="J2718" t="str">
        <f t="shared" ref="J2718:J2723" si="483">"Vale Street (Possibilities) Voluntary Associations Agency And Contracted Services Supported Living Adult Health &amp; Social Care"</f>
        <v>Vale Street (Possibilities) Voluntary Associations Agency And Contracted Services Supported Living Adult Health &amp; Social Care</v>
      </c>
    </row>
    <row r="2719" spans="1:10" x14ac:dyDescent="0.35">
      <c r="A2719" t="str">
        <f t="shared" si="477"/>
        <v>MAR</v>
      </c>
      <c r="B2719" t="str">
        <f t="shared" si="471"/>
        <v>21</v>
      </c>
      <c r="C2719" t="str">
        <f t="shared" si="474"/>
        <v>2020/21</v>
      </c>
      <c r="D2719" t="str">
        <f t="shared" si="481"/>
        <v>SS SL 114909</v>
      </c>
      <c r="E2719" t="str">
        <f t="shared" si="475"/>
        <v>SS</v>
      </c>
      <c r="F2719" t="s">
        <v>25</v>
      </c>
      <c r="G2719" t="s">
        <v>22</v>
      </c>
      <c r="H2719">
        <v>3480.8</v>
      </c>
      <c r="I2719" t="str">
        <f t="shared" si="482"/>
        <v>Possabilities CIC</v>
      </c>
      <c r="J2719" t="str">
        <f t="shared" si="483"/>
        <v>Vale Street (Possibilities) Voluntary Associations Agency And Contracted Services Supported Living Adult Health &amp; Social Care</v>
      </c>
    </row>
    <row r="2720" spans="1:10" x14ac:dyDescent="0.35">
      <c r="A2720" t="str">
        <f t="shared" si="477"/>
        <v>MAR</v>
      </c>
      <c r="B2720" t="str">
        <f t="shared" si="471"/>
        <v>21</v>
      </c>
      <c r="C2720" t="str">
        <f t="shared" si="474"/>
        <v>2020/21</v>
      </c>
      <c r="D2720" t="str">
        <f t="shared" si="481"/>
        <v>SS SL 114909</v>
      </c>
      <c r="E2720" t="str">
        <f t="shared" si="475"/>
        <v>SS</v>
      </c>
      <c r="F2720" t="s">
        <v>25</v>
      </c>
      <c r="G2720" t="s">
        <v>22</v>
      </c>
      <c r="H2720">
        <v>1533</v>
      </c>
      <c r="I2720" t="str">
        <f t="shared" si="482"/>
        <v>Possabilities CIC</v>
      </c>
      <c r="J2720" t="str">
        <f t="shared" si="483"/>
        <v>Vale Street (Possibilities) Voluntary Associations Agency And Contracted Services Supported Living Adult Health &amp; Social Care</v>
      </c>
    </row>
    <row r="2721" spans="1:10" x14ac:dyDescent="0.35">
      <c r="A2721" t="str">
        <f t="shared" si="477"/>
        <v>MAR</v>
      </c>
      <c r="B2721" t="str">
        <f t="shared" si="471"/>
        <v>21</v>
      </c>
      <c r="C2721" t="str">
        <f t="shared" si="474"/>
        <v>2020/21</v>
      </c>
      <c r="D2721" t="str">
        <f t="shared" si="481"/>
        <v>SS SL 114909</v>
      </c>
      <c r="E2721" t="str">
        <f t="shared" si="475"/>
        <v>SS</v>
      </c>
      <c r="F2721" t="s">
        <v>25</v>
      </c>
      <c r="G2721" t="s">
        <v>22</v>
      </c>
      <c r="H2721">
        <v>3480.8</v>
      </c>
      <c r="I2721" t="str">
        <f t="shared" si="482"/>
        <v>Possabilities CIC</v>
      </c>
      <c r="J2721" t="str">
        <f t="shared" si="483"/>
        <v>Vale Street (Possibilities) Voluntary Associations Agency And Contracted Services Supported Living Adult Health &amp; Social Care</v>
      </c>
    </row>
    <row r="2722" spans="1:10" x14ac:dyDescent="0.35">
      <c r="A2722" t="str">
        <f t="shared" si="477"/>
        <v>MAR</v>
      </c>
      <c r="B2722" t="str">
        <f t="shared" si="471"/>
        <v>21</v>
      </c>
      <c r="C2722" t="str">
        <f t="shared" si="474"/>
        <v>2020/21</v>
      </c>
      <c r="D2722" t="str">
        <f t="shared" si="481"/>
        <v>SS SL 114909</v>
      </c>
      <c r="E2722" t="str">
        <f t="shared" si="475"/>
        <v>SS</v>
      </c>
      <c r="F2722" t="s">
        <v>25</v>
      </c>
      <c r="G2722" t="s">
        <v>22</v>
      </c>
      <c r="H2722">
        <v>3480.8</v>
      </c>
      <c r="I2722" t="str">
        <f t="shared" si="482"/>
        <v>Possabilities CIC</v>
      </c>
      <c r="J2722" t="str">
        <f t="shared" si="483"/>
        <v>Vale Street (Possibilities) Voluntary Associations Agency And Contracted Services Supported Living Adult Health &amp; Social Care</v>
      </c>
    </row>
    <row r="2723" spans="1:10" x14ac:dyDescent="0.35">
      <c r="A2723" t="str">
        <f t="shared" si="477"/>
        <v>MAR</v>
      </c>
      <c r="B2723" t="str">
        <f t="shared" si="471"/>
        <v>21</v>
      </c>
      <c r="C2723" t="str">
        <f t="shared" si="474"/>
        <v>2020/21</v>
      </c>
      <c r="D2723" t="str">
        <f t="shared" si="481"/>
        <v>SS SL 114909</v>
      </c>
      <c r="E2723" t="str">
        <f t="shared" si="475"/>
        <v>SS</v>
      </c>
      <c r="F2723" t="s">
        <v>25</v>
      </c>
      <c r="G2723" t="s">
        <v>22</v>
      </c>
      <c r="H2723">
        <v>3297.6</v>
      </c>
      <c r="I2723" t="str">
        <f t="shared" si="482"/>
        <v>Possabilities CIC</v>
      </c>
      <c r="J2723" t="str">
        <f t="shared" si="483"/>
        <v>Vale Street (Possibilities) Voluntary Associations Agency And Contracted Services Supported Living Adult Health &amp; Social Care</v>
      </c>
    </row>
    <row r="2724" spans="1:10" x14ac:dyDescent="0.35">
      <c r="A2724" t="str">
        <f t="shared" si="477"/>
        <v>MAR</v>
      </c>
      <c r="B2724" t="str">
        <f t="shared" si="471"/>
        <v>21</v>
      </c>
      <c r="C2724" t="str">
        <f t="shared" si="474"/>
        <v>2020/21</v>
      </c>
      <c r="D2724" t="str">
        <f>"SS SL 114907"</f>
        <v>SS SL 114907</v>
      </c>
      <c r="E2724" t="str">
        <f t="shared" si="475"/>
        <v>SS</v>
      </c>
      <c r="F2724" t="s">
        <v>25</v>
      </c>
      <c r="G2724" t="s">
        <v>22</v>
      </c>
      <c r="H2724">
        <v>6595.2</v>
      </c>
      <c r="I2724" t="str">
        <f t="shared" si="482"/>
        <v>Possabilities CIC</v>
      </c>
      <c r="J2724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2725" spans="1:10" x14ac:dyDescent="0.35">
      <c r="A2725" t="str">
        <f t="shared" si="477"/>
        <v>MAR</v>
      </c>
      <c r="B2725" t="str">
        <f t="shared" si="471"/>
        <v>21</v>
      </c>
      <c r="C2725" t="str">
        <f t="shared" si="474"/>
        <v>2020/21</v>
      </c>
      <c r="D2725" t="str">
        <f>"SS SL 114907"</f>
        <v>SS SL 114907</v>
      </c>
      <c r="E2725" t="str">
        <f t="shared" si="475"/>
        <v>SS</v>
      </c>
      <c r="F2725" t="s">
        <v>25</v>
      </c>
      <c r="G2725" t="s">
        <v>22</v>
      </c>
      <c r="H2725">
        <v>1533</v>
      </c>
      <c r="I2725" t="str">
        <f t="shared" si="482"/>
        <v>Possabilities CIC</v>
      </c>
      <c r="J2725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2726" spans="1:10" x14ac:dyDescent="0.35">
      <c r="A2726" t="str">
        <f t="shared" si="477"/>
        <v>MAR</v>
      </c>
      <c r="B2726" t="str">
        <f t="shared" si="471"/>
        <v>21</v>
      </c>
      <c r="C2726" t="str">
        <f t="shared" si="474"/>
        <v>2020/21</v>
      </c>
      <c r="D2726" t="str">
        <f>"SS SL 114907"</f>
        <v>SS SL 114907</v>
      </c>
      <c r="E2726" t="str">
        <f t="shared" si="475"/>
        <v>SS</v>
      </c>
      <c r="F2726" t="s">
        <v>25</v>
      </c>
      <c r="G2726" t="s">
        <v>22</v>
      </c>
      <c r="H2726">
        <v>5679.2</v>
      </c>
      <c r="I2726" t="str">
        <f t="shared" si="482"/>
        <v>Possabilities CIC</v>
      </c>
      <c r="J2726" t="str">
        <f>"Dale Avenue (Possibilities) Voluntary Associations Agency And Contracted Services Supported Living Adult Health &amp; Social Care"</f>
        <v>Dale Avenue (Possibilities) Voluntary Associations Agency And Contracted Services Supported Living Adult Health &amp; Social Care</v>
      </c>
    </row>
    <row r="2727" spans="1:10" x14ac:dyDescent="0.35">
      <c r="A2727" t="str">
        <f t="shared" si="477"/>
        <v>MAR</v>
      </c>
      <c r="B2727" t="str">
        <f t="shared" si="471"/>
        <v>21</v>
      </c>
      <c r="C2727" t="str">
        <f t="shared" si="474"/>
        <v>2020/21</v>
      </c>
      <c r="D2727" t="str">
        <f>"SS SL 114908"</f>
        <v>SS SL 114908</v>
      </c>
      <c r="E2727" t="str">
        <f t="shared" si="475"/>
        <v>SS</v>
      </c>
      <c r="F2727" t="s">
        <v>25</v>
      </c>
      <c r="G2727" t="s">
        <v>22</v>
      </c>
      <c r="H2727">
        <v>2564.8000000000002</v>
      </c>
      <c r="I2727" t="str">
        <f t="shared" si="482"/>
        <v>Possabilities CIC</v>
      </c>
      <c r="J2727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728" spans="1:10" x14ac:dyDescent="0.35">
      <c r="A2728" t="str">
        <f t="shared" si="477"/>
        <v>MAR</v>
      </c>
      <c r="B2728" t="str">
        <f t="shared" si="471"/>
        <v>21</v>
      </c>
      <c r="C2728" t="str">
        <f t="shared" si="474"/>
        <v>2020/21</v>
      </c>
      <c r="D2728" t="str">
        <f>"SS SL 114908"</f>
        <v>SS SL 114908</v>
      </c>
      <c r="E2728" t="str">
        <f t="shared" si="475"/>
        <v>SS</v>
      </c>
      <c r="F2728" t="s">
        <v>25</v>
      </c>
      <c r="G2728" t="s">
        <v>22</v>
      </c>
      <c r="H2728">
        <v>4259.3999999999996</v>
      </c>
      <c r="I2728" t="str">
        <f t="shared" si="482"/>
        <v>Possabilities CIC</v>
      </c>
      <c r="J2728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729" spans="1:10" x14ac:dyDescent="0.35">
      <c r="A2729" t="str">
        <f t="shared" si="477"/>
        <v>MAR</v>
      </c>
      <c r="B2729" t="str">
        <f t="shared" si="471"/>
        <v>21</v>
      </c>
      <c r="C2729" t="str">
        <f t="shared" si="474"/>
        <v>2020/21</v>
      </c>
      <c r="D2729" t="str">
        <f>"SS SL 114908"</f>
        <v>SS SL 114908</v>
      </c>
      <c r="E2729" t="str">
        <f t="shared" si="475"/>
        <v>SS</v>
      </c>
      <c r="F2729" t="s">
        <v>25</v>
      </c>
      <c r="G2729" t="s">
        <v>22</v>
      </c>
      <c r="H2729">
        <v>1533</v>
      </c>
      <c r="I2729" t="str">
        <f t="shared" si="482"/>
        <v>Possabilities CIC</v>
      </c>
      <c r="J2729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730" spans="1:10" x14ac:dyDescent="0.35">
      <c r="A2730" t="str">
        <f t="shared" si="477"/>
        <v>MAR</v>
      </c>
      <c r="B2730" t="str">
        <f t="shared" si="471"/>
        <v>21</v>
      </c>
      <c r="C2730" t="str">
        <f t="shared" si="474"/>
        <v>2020/21</v>
      </c>
      <c r="D2730" t="str">
        <f>"SS SL 114908"</f>
        <v>SS SL 114908</v>
      </c>
      <c r="E2730" t="str">
        <f t="shared" si="475"/>
        <v>SS</v>
      </c>
      <c r="F2730" t="s">
        <v>25</v>
      </c>
      <c r="G2730" t="s">
        <v>22</v>
      </c>
      <c r="H2730">
        <v>4259.3999999999996</v>
      </c>
      <c r="I2730" t="str">
        <f t="shared" si="482"/>
        <v>Possabilities CIC</v>
      </c>
      <c r="J2730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731" spans="1:10" x14ac:dyDescent="0.35">
      <c r="A2731" t="str">
        <f t="shared" si="477"/>
        <v>MAR</v>
      </c>
      <c r="B2731" t="str">
        <f t="shared" si="471"/>
        <v>21</v>
      </c>
      <c r="C2731" t="str">
        <f t="shared" si="474"/>
        <v>2020/21</v>
      </c>
      <c r="D2731" t="str">
        <f>"SS SL 114908"</f>
        <v>SS SL 114908</v>
      </c>
      <c r="E2731" t="str">
        <f t="shared" si="475"/>
        <v>SS</v>
      </c>
      <c r="F2731" t="s">
        <v>25</v>
      </c>
      <c r="G2731" t="s">
        <v>22</v>
      </c>
      <c r="H2731">
        <v>4259.3999999999996</v>
      </c>
      <c r="I2731" t="str">
        <f t="shared" si="482"/>
        <v>Possabilities CIC</v>
      </c>
      <c r="J2731" t="str">
        <f>"Oakhill Lodge (Possibilities) Voluntary Associations Agency And Contracted Services Supported Living Adult Health &amp; Social Care"</f>
        <v>Oakhill Lodge (Possibilities) Voluntary Associations Agency And Contracted Services Supported Living Adult Health &amp; Social Care</v>
      </c>
    </row>
    <row r="2732" spans="1:10" x14ac:dyDescent="0.35">
      <c r="A2732" t="str">
        <f t="shared" si="477"/>
        <v>MAR</v>
      </c>
      <c r="B2732" t="str">
        <f t="shared" si="471"/>
        <v>21</v>
      </c>
      <c r="C2732" t="str">
        <f t="shared" si="474"/>
        <v>2020/21</v>
      </c>
      <c r="D2732" t="str">
        <f>"SS SL 114110"</f>
        <v>SS SL 114110</v>
      </c>
      <c r="E2732" t="str">
        <f t="shared" si="475"/>
        <v>SS</v>
      </c>
      <c r="F2732" t="s">
        <v>25</v>
      </c>
      <c r="G2732" t="s">
        <v>22</v>
      </c>
      <c r="H2732">
        <v>2292.5300000000002</v>
      </c>
      <c r="I2732" t="str">
        <f>"Turning Point Scotland Services"</f>
        <v>Turning Point Scotland Services</v>
      </c>
      <c r="J2732" t="str">
        <f>"The Courtyard (Turning Point) Voluntary Associations Agency And Contracted Services Supported Living Adult Health &amp; Social Care"</f>
        <v>The Courtyard (Turning Point) Voluntary Associations Agency And Contracted Services Supported Living Adult Health &amp; Social Care</v>
      </c>
    </row>
    <row r="2733" spans="1:10" x14ac:dyDescent="0.35">
      <c r="A2733" t="str">
        <f t="shared" si="477"/>
        <v>MAR</v>
      </c>
      <c r="B2733" t="str">
        <f t="shared" si="471"/>
        <v>21</v>
      </c>
      <c r="C2733" t="str">
        <f t="shared" si="474"/>
        <v>2020/21</v>
      </c>
      <c r="D2733" t="str">
        <f t="shared" ref="D2733:D2750" si="484">"SS SL 114881"</f>
        <v>SS SL 114881</v>
      </c>
      <c r="E2733" t="str">
        <f t="shared" si="475"/>
        <v>SS</v>
      </c>
      <c r="F2733" t="s">
        <v>25</v>
      </c>
      <c r="G2733" t="s">
        <v>22</v>
      </c>
      <c r="H2733">
        <v>6772.8</v>
      </c>
      <c r="I2733" t="str">
        <f t="shared" ref="I2733:I2765" si="485">"Creative Support Ltd"</f>
        <v>Creative Support Ltd</v>
      </c>
      <c r="J2733" t="str">
        <f t="shared" ref="J2733:J2750" si="486">"92 Highfield Road (Creative Support) Private Contractors Agency And Contracted Services Supported Living Adult Health &amp; Social Care"</f>
        <v>92 Highfield Road (Creative Support) Private Contractors Agency And Contracted Services Supported Living Adult Health &amp; Social Care</v>
      </c>
    </row>
    <row r="2734" spans="1:10" x14ac:dyDescent="0.35">
      <c r="A2734" t="str">
        <f t="shared" si="477"/>
        <v>MAR</v>
      </c>
      <c r="B2734" t="str">
        <f t="shared" si="471"/>
        <v>21</v>
      </c>
      <c r="C2734" t="str">
        <f t="shared" si="474"/>
        <v>2020/21</v>
      </c>
      <c r="D2734" t="str">
        <f t="shared" si="484"/>
        <v>SS SL 114881</v>
      </c>
      <c r="E2734" t="str">
        <f t="shared" si="475"/>
        <v>SS</v>
      </c>
      <c r="F2734" t="s">
        <v>25</v>
      </c>
      <c r="G2734" t="s">
        <v>22</v>
      </c>
      <c r="H2734">
        <v>4946.8</v>
      </c>
      <c r="I2734" t="str">
        <f t="shared" si="485"/>
        <v>Creative Support Ltd</v>
      </c>
      <c r="J2734" t="str">
        <f t="shared" si="486"/>
        <v>92 Highfield Road (Creative Support) Private Contractors Agency And Contracted Services Supported Living Adult Health &amp; Social Care</v>
      </c>
    </row>
    <row r="2735" spans="1:10" x14ac:dyDescent="0.35">
      <c r="A2735" t="str">
        <f t="shared" si="477"/>
        <v>MAR</v>
      </c>
      <c r="B2735" t="str">
        <f t="shared" si="471"/>
        <v>21</v>
      </c>
      <c r="C2735" t="str">
        <f t="shared" si="474"/>
        <v>2020/21</v>
      </c>
      <c r="D2735" t="str">
        <f t="shared" si="484"/>
        <v>SS SL 114881</v>
      </c>
      <c r="E2735" t="str">
        <f t="shared" si="475"/>
        <v>SS</v>
      </c>
      <c r="F2735" t="s">
        <v>25</v>
      </c>
      <c r="G2735" t="s">
        <v>22</v>
      </c>
      <c r="H2735">
        <v>6208.4</v>
      </c>
      <c r="I2735" t="str">
        <f t="shared" si="485"/>
        <v>Creative Support Ltd</v>
      </c>
      <c r="J2735" t="str">
        <f t="shared" si="486"/>
        <v>92 Highfield Road (Creative Support) Private Contractors Agency And Contracted Services Supported Living Adult Health &amp; Social Care</v>
      </c>
    </row>
    <row r="2736" spans="1:10" x14ac:dyDescent="0.35">
      <c r="A2736" t="str">
        <f t="shared" si="477"/>
        <v>MAR</v>
      </c>
      <c r="B2736" t="str">
        <f t="shared" si="471"/>
        <v>21</v>
      </c>
      <c r="C2736" t="str">
        <f t="shared" si="474"/>
        <v>2020/21</v>
      </c>
      <c r="D2736" t="str">
        <f t="shared" si="484"/>
        <v>SS SL 114881</v>
      </c>
      <c r="E2736" t="str">
        <f t="shared" si="475"/>
        <v>SS</v>
      </c>
      <c r="F2736" t="s">
        <v>25</v>
      </c>
      <c r="G2736" t="s">
        <v>22</v>
      </c>
      <c r="H2736">
        <v>3718.4</v>
      </c>
      <c r="I2736" t="str">
        <f t="shared" si="485"/>
        <v>Creative Support Ltd</v>
      </c>
      <c r="J2736" t="str">
        <f t="shared" si="486"/>
        <v>92 Highfield Road (Creative Support) Private Contractors Agency And Contracted Services Supported Living Adult Health &amp; Social Care</v>
      </c>
    </row>
    <row r="2737" spans="1:10" x14ac:dyDescent="0.35">
      <c r="A2737" t="str">
        <f t="shared" si="477"/>
        <v>MAR</v>
      </c>
      <c r="B2737" t="str">
        <f t="shared" si="471"/>
        <v>21</v>
      </c>
      <c r="C2737" t="str">
        <f t="shared" si="474"/>
        <v>2020/21</v>
      </c>
      <c r="D2737" t="str">
        <f t="shared" si="484"/>
        <v>SS SL 114881</v>
      </c>
      <c r="E2737" t="str">
        <f t="shared" si="475"/>
        <v>SS</v>
      </c>
      <c r="F2737" t="s">
        <v>25</v>
      </c>
      <c r="G2737" t="s">
        <v>22</v>
      </c>
      <c r="H2737">
        <v>3452.8</v>
      </c>
      <c r="I2737" t="str">
        <f t="shared" si="485"/>
        <v>Creative Support Ltd</v>
      </c>
      <c r="J2737" t="str">
        <f t="shared" si="486"/>
        <v>92 Highfield Road (Creative Support) Private Contractors Agency And Contracted Services Supported Living Adult Health &amp; Social Care</v>
      </c>
    </row>
    <row r="2738" spans="1:10" x14ac:dyDescent="0.35">
      <c r="A2738" t="str">
        <f t="shared" si="477"/>
        <v>MAR</v>
      </c>
      <c r="B2738" t="str">
        <f t="shared" si="471"/>
        <v>21</v>
      </c>
      <c r="C2738" t="str">
        <f t="shared" si="474"/>
        <v>2020/21</v>
      </c>
      <c r="D2738" t="str">
        <f t="shared" si="484"/>
        <v>SS SL 114881</v>
      </c>
      <c r="E2738" t="str">
        <f t="shared" si="475"/>
        <v>SS</v>
      </c>
      <c r="F2738" t="s">
        <v>25</v>
      </c>
      <c r="G2738" t="s">
        <v>22</v>
      </c>
      <c r="H2738">
        <v>3021.2</v>
      </c>
      <c r="I2738" t="str">
        <f t="shared" si="485"/>
        <v>Creative Support Ltd</v>
      </c>
      <c r="J2738" t="str">
        <f t="shared" si="486"/>
        <v>92 Highfield Road (Creative Support) Private Contractors Agency And Contracted Services Supported Living Adult Health &amp; Social Care</v>
      </c>
    </row>
    <row r="2739" spans="1:10" x14ac:dyDescent="0.35">
      <c r="A2739" t="str">
        <f t="shared" si="477"/>
        <v>MAR</v>
      </c>
      <c r="B2739" t="str">
        <f t="shared" ref="B2739:B2802" si="487">"21"</f>
        <v>21</v>
      </c>
      <c r="C2739" t="str">
        <f t="shared" si="474"/>
        <v>2020/21</v>
      </c>
      <c r="D2739" t="str">
        <f t="shared" si="484"/>
        <v>SS SL 114881</v>
      </c>
      <c r="E2739" t="str">
        <f t="shared" si="475"/>
        <v>SS</v>
      </c>
      <c r="F2739" t="s">
        <v>25</v>
      </c>
      <c r="G2739" t="s">
        <v>22</v>
      </c>
      <c r="H2739">
        <v>3452.8</v>
      </c>
      <c r="I2739" t="str">
        <f t="shared" si="485"/>
        <v>Creative Support Ltd</v>
      </c>
      <c r="J2739" t="str">
        <f t="shared" si="486"/>
        <v>92 Highfield Road (Creative Support) Private Contractors Agency And Contracted Services Supported Living Adult Health &amp; Social Care</v>
      </c>
    </row>
    <row r="2740" spans="1:10" x14ac:dyDescent="0.35">
      <c r="A2740" t="str">
        <f t="shared" si="477"/>
        <v>MAR</v>
      </c>
      <c r="B2740" t="str">
        <f t="shared" si="487"/>
        <v>21</v>
      </c>
      <c r="C2740" t="str">
        <f t="shared" si="474"/>
        <v>2020/21</v>
      </c>
      <c r="D2740" t="str">
        <f t="shared" si="484"/>
        <v>SS SL 114881</v>
      </c>
      <c r="E2740" t="str">
        <f t="shared" si="475"/>
        <v>SS</v>
      </c>
      <c r="F2740" t="s">
        <v>25</v>
      </c>
      <c r="G2740" t="s">
        <v>22</v>
      </c>
      <c r="H2740">
        <v>6208.4</v>
      </c>
      <c r="I2740" t="str">
        <f t="shared" si="485"/>
        <v>Creative Support Ltd</v>
      </c>
      <c r="J2740" t="str">
        <f t="shared" si="486"/>
        <v>92 Highfield Road (Creative Support) Private Contractors Agency And Contracted Services Supported Living Adult Health &amp; Social Care</v>
      </c>
    </row>
    <row r="2741" spans="1:10" x14ac:dyDescent="0.35">
      <c r="A2741" t="str">
        <f t="shared" si="477"/>
        <v>MAR</v>
      </c>
      <c r="B2741" t="str">
        <f t="shared" si="487"/>
        <v>21</v>
      </c>
      <c r="C2741" t="str">
        <f t="shared" si="474"/>
        <v>2020/21</v>
      </c>
      <c r="D2741" t="str">
        <f t="shared" si="484"/>
        <v>SS SL 114881</v>
      </c>
      <c r="E2741" t="str">
        <f t="shared" si="475"/>
        <v>SS</v>
      </c>
      <c r="F2741" t="s">
        <v>25</v>
      </c>
      <c r="G2741" t="s">
        <v>22</v>
      </c>
      <c r="H2741">
        <v>3718.4</v>
      </c>
      <c r="I2741" t="str">
        <f t="shared" si="485"/>
        <v>Creative Support Ltd</v>
      </c>
      <c r="J2741" t="str">
        <f t="shared" si="486"/>
        <v>92 Highfield Road (Creative Support) Private Contractors Agency And Contracted Services Supported Living Adult Health &amp; Social Care</v>
      </c>
    </row>
    <row r="2742" spans="1:10" x14ac:dyDescent="0.35">
      <c r="A2742" t="str">
        <f t="shared" si="477"/>
        <v>MAR</v>
      </c>
      <c r="B2742" t="str">
        <f t="shared" si="487"/>
        <v>21</v>
      </c>
      <c r="C2742" t="str">
        <f t="shared" si="474"/>
        <v>2020/21</v>
      </c>
      <c r="D2742" t="str">
        <f t="shared" si="484"/>
        <v>SS SL 114881</v>
      </c>
      <c r="E2742" t="str">
        <f t="shared" si="475"/>
        <v>SS</v>
      </c>
      <c r="F2742" t="s">
        <v>25</v>
      </c>
      <c r="G2742" t="s">
        <v>22</v>
      </c>
      <c r="H2742">
        <v>3021.2</v>
      </c>
      <c r="I2742" t="str">
        <f t="shared" si="485"/>
        <v>Creative Support Ltd</v>
      </c>
      <c r="J2742" t="str">
        <f t="shared" si="486"/>
        <v>92 Highfield Road (Creative Support) Private Contractors Agency And Contracted Services Supported Living Adult Health &amp; Social Care</v>
      </c>
    </row>
    <row r="2743" spans="1:10" x14ac:dyDescent="0.35">
      <c r="A2743" t="str">
        <f t="shared" si="477"/>
        <v>MAR</v>
      </c>
      <c r="B2743" t="str">
        <f t="shared" si="487"/>
        <v>21</v>
      </c>
      <c r="C2743" t="str">
        <f t="shared" si="474"/>
        <v>2020/21</v>
      </c>
      <c r="D2743" t="str">
        <f t="shared" si="484"/>
        <v>SS SL 114881</v>
      </c>
      <c r="E2743" t="str">
        <f t="shared" si="475"/>
        <v>SS</v>
      </c>
      <c r="F2743" t="s">
        <v>25</v>
      </c>
      <c r="G2743" t="s">
        <v>22</v>
      </c>
      <c r="H2743">
        <v>4946.8</v>
      </c>
      <c r="I2743" t="str">
        <f t="shared" si="485"/>
        <v>Creative Support Ltd</v>
      </c>
      <c r="J2743" t="str">
        <f t="shared" si="486"/>
        <v>92 Highfield Road (Creative Support) Private Contractors Agency And Contracted Services Supported Living Adult Health &amp; Social Care</v>
      </c>
    </row>
    <row r="2744" spans="1:10" x14ac:dyDescent="0.35">
      <c r="A2744" t="str">
        <f t="shared" si="477"/>
        <v>MAR</v>
      </c>
      <c r="B2744" t="str">
        <f t="shared" si="487"/>
        <v>21</v>
      </c>
      <c r="C2744" t="str">
        <f t="shared" si="474"/>
        <v>2020/21</v>
      </c>
      <c r="D2744" t="str">
        <f t="shared" si="484"/>
        <v>SS SL 114881</v>
      </c>
      <c r="E2744" t="str">
        <f t="shared" si="475"/>
        <v>SS</v>
      </c>
      <c r="F2744" t="s">
        <v>25</v>
      </c>
      <c r="G2744" t="s">
        <v>22</v>
      </c>
      <c r="H2744">
        <v>6772.8</v>
      </c>
      <c r="I2744" t="str">
        <f t="shared" si="485"/>
        <v>Creative Support Ltd</v>
      </c>
      <c r="J2744" t="str">
        <f t="shared" si="486"/>
        <v>92 Highfield Road (Creative Support) Private Contractors Agency And Contracted Services Supported Living Adult Health &amp; Social Care</v>
      </c>
    </row>
    <row r="2745" spans="1:10" x14ac:dyDescent="0.35">
      <c r="A2745" t="str">
        <f t="shared" si="477"/>
        <v>MAR</v>
      </c>
      <c r="B2745" t="str">
        <f t="shared" si="487"/>
        <v>21</v>
      </c>
      <c r="C2745" t="str">
        <f t="shared" si="474"/>
        <v>2020/21</v>
      </c>
      <c r="D2745" t="str">
        <f t="shared" si="484"/>
        <v>SS SL 114881</v>
      </c>
      <c r="E2745" t="str">
        <f t="shared" si="475"/>
        <v>SS</v>
      </c>
      <c r="F2745" t="s">
        <v>25</v>
      </c>
      <c r="G2745" t="s">
        <v>22</v>
      </c>
      <c r="H2745">
        <v>3718.4</v>
      </c>
      <c r="I2745" t="str">
        <f t="shared" si="485"/>
        <v>Creative Support Ltd</v>
      </c>
      <c r="J2745" t="str">
        <f t="shared" si="486"/>
        <v>92 Highfield Road (Creative Support) Private Contractors Agency And Contracted Services Supported Living Adult Health &amp; Social Care</v>
      </c>
    </row>
    <row r="2746" spans="1:10" x14ac:dyDescent="0.35">
      <c r="A2746" t="str">
        <f t="shared" si="477"/>
        <v>MAR</v>
      </c>
      <c r="B2746" t="str">
        <f t="shared" si="487"/>
        <v>21</v>
      </c>
      <c r="C2746" t="str">
        <f t="shared" si="474"/>
        <v>2020/21</v>
      </c>
      <c r="D2746" t="str">
        <f t="shared" si="484"/>
        <v>SS SL 114881</v>
      </c>
      <c r="E2746" t="str">
        <f t="shared" si="475"/>
        <v>SS</v>
      </c>
      <c r="F2746" t="s">
        <v>25</v>
      </c>
      <c r="G2746" t="s">
        <v>22</v>
      </c>
      <c r="H2746">
        <v>3452.8</v>
      </c>
      <c r="I2746" t="str">
        <f t="shared" si="485"/>
        <v>Creative Support Ltd</v>
      </c>
      <c r="J2746" t="str">
        <f t="shared" si="486"/>
        <v>92 Highfield Road (Creative Support) Private Contractors Agency And Contracted Services Supported Living Adult Health &amp; Social Care</v>
      </c>
    </row>
    <row r="2747" spans="1:10" x14ac:dyDescent="0.35">
      <c r="A2747" t="str">
        <f t="shared" si="477"/>
        <v>MAR</v>
      </c>
      <c r="B2747" t="str">
        <f t="shared" si="487"/>
        <v>21</v>
      </c>
      <c r="C2747" t="str">
        <f t="shared" si="474"/>
        <v>2020/21</v>
      </c>
      <c r="D2747" t="str">
        <f t="shared" si="484"/>
        <v>SS SL 114881</v>
      </c>
      <c r="E2747" t="str">
        <f t="shared" si="475"/>
        <v>SS</v>
      </c>
      <c r="F2747" t="s">
        <v>25</v>
      </c>
      <c r="G2747" t="s">
        <v>22</v>
      </c>
      <c r="H2747">
        <v>4946.8</v>
      </c>
      <c r="I2747" t="str">
        <f t="shared" si="485"/>
        <v>Creative Support Ltd</v>
      </c>
      <c r="J2747" t="str">
        <f t="shared" si="486"/>
        <v>92 Highfield Road (Creative Support) Private Contractors Agency And Contracted Services Supported Living Adult Health &amp; Social Care</v>
      </c>
    </row>
    <row r="2748" spans="1:10" x14ac:dyDescent="0.35">
      <c r="A2748" t="str">
        <f t="shared" si="477"/>
        <v>MAR</v>
      </c>
      <c r="B2748" t="str">
        <f t="shared" si="487"/>
        <v>21</v>
      </c>
      <c r="C2748" t="str">
        <f t="shared" si="474"/>
        <v>2020/21</v>
      </c>
      <c r="D2748" t="str">
        <f t="shared" si="484"/>
        <v>SS SL 114881</v>
      </c>
      <c r="E2748" t="str">
        <f t="shared" si="475"/>
        <v>SS</v>
      </c>
      <c r="F2748" t="s">
        <v>25</v>
      </c>
      <c r="G2748" t="s">
        <v>22</v>
      </c>
      <c r="H2748">
        <v>6208.4</v>
      </c>
      <c r="I2748" t="str">
        <f t="shared" si="485"/>
        <v>Creative Support Ltd</v>
      </c>
      <c r="J2748" t="str">
        <f t="shared" si="486"/>
        <v>92 Highfield Road (Creative Support) Private Contractors Agency And Contracted Services Supported Living Adult Health &amp; Social Care</v>
      </c>
    </row>
    <row r="2749" spans="1:10" x14ac:dyDescent="0.35">
      <c r="A2749" t="str">
        <f t="shared" si="477"/>
        <v>MAR</v>
      </c>
      <c r="B2749" t="str">
        <f t="shared" si="487"/>
        <v>21</v>
      </c>
      <c r="C2749" t="str">
        <f t="shared" si="474"/>
        <v>2020/21</v>
      </c>
      <c r="D2749" t="str">
        <f t="shared" si="484"/>
        <v>SS SL 114881</v>
      </c>
      <c r="E2749" t="str">
        <f t="shared" si="475"/>
        <v>SS</v>
      </c>
      <c r="F2749" t="s">
        <v>25</v>
      </c>
      <c r="G2749" t="s">
        <v>22</v>
      </c>
      <c r="H2749">
        <v>3021.2</v>
      </c>
      <c r="I2749" t="str">
        <f t="shared" si="485"/>
        <v>Creative Support Ltd</v>
      </c>
      <c r="J2749" t="str">
        <f t="shared" si="486"/>
        <v>92 Highfield Road (Creative Support) Private Contractors Agency And Contracted Services Supported Living Adult Health &amp; Social Care</v>
      </c>
    </row>
    <row r="2750" spans="1:10" x14ac:dyDescent="0.35">
      <c r="A2750" t="str">
        <f t="shared" si="477"/>
        <v>MAR</v>
      </c>
      <c r="B2750" t="str">
        <f t="shared" si="487"/>
        <v>21</v>
      </c>
      <c r="C2750" t="str">
        <f t="shared" si="474"/>
        <v>2020/21</v>
      </c>
      <c r="D2750" t="str">
        <f t="shared" si="484"/>
        <v>SS SL 114881</v>
      </c>
      <c r="E2750" t="str">
        <f t="shared" si="475"/>
        <v>SS</v>
      </c>
      <c r="F2750" t="s">
        <v>25</v>
      </c>
      <c r="G2750" t="s">
        <v>22</v>
      </c>
      <c r="H2750">
        <v>6772.8</v>
      </c>
      <c r="I2750" t="str">
        <f t="shared" si="485"/>
        <v>Creative Support Ltd</v>
      </c>
      <c r="J2750" t="str">
        <f t="shared" si="486"/>
        <v>92 Highfield Road (Creative Support) Private Contractors Agency And Contracted Services Supported Living Adult Health &amp; Social Care</v>
      </c>
    </row>
    <row r="2751" spans="1:10" x14ac:dyDescent="0.35">
      <c r="A2751" t="str">
        <f t="shared" si="477"/>
        <v>MAR</v>
      </c>
      <c r="B2751" t="str">
        <f t="shared" si="487"/>
        <v>21</v>
      </c>
      <c r="C2751" t="str">
        <f t="shared" si="474"/>
        <v>2020/21</v>
      </c>
      <c r="D2751" t="str">
        <f t="shared" ref="D2751:D2765" si="488">"SS SL 114893"</f>
        <v>SS SL 114893</v>
      </c>
      <c r="E2751" t="str">
        <f t="shared" si="475"/>
        <v>SS</v>
      </c>
      <c r="F2751" t="s">
        <v>25</v>
      </c>
      <c r="G2751" t="s">
        <v>22</v>
      </c>
      <c r="H2751">
        <v>3984</v>
      </c>
      <c r="I2751" t="str">
        <f t="shared" si="485"/>
        <v>Creative Support Ltd</v>
      </c>
      <c r="J2751" t="str">
        <f t="shared" ref="J2751:J2765" si="489">"92a Highfield Road (Creative Support) Private Contractors Agency And Contracted Services Supported Living Adult Health &amp; Social Care"</f>
        <v>92a Highfield Road (Creative Support) Private Contractors Agency And Contracted Services Supported Living Adult Health &amp; Social Care</v>
      </c>
    </row>
    <row r="2752" spans="1:10" x14ac:dyDescent="0.35">
      <c r="A2752" t="str">
        <f t="shared" si="477"/>
        <v>MAR</v>
      </c>
      <c r="B2752" t="str">
        <f t="shared" si="487"/>
        <v>21</v>
      </c>
      <c r="C2752" t="str">
        <f t="shared" si="474"/>
        <v>2020/21</v>
      </c>
      <c r="D2752" t="str">
        <f t="shared" si="488"/>
        <v>SS SL 114893</v>
      </c>
      <c r="E2752" t="str">
        <f t="shared" si="475"/>
        <v>SS</v>
      </c>
      <c r="F2752" t="s">
        <v>25</v>
      </c>
      <c r="G2752" t="s">
        <v>22</v>
      </c>
      <c r="H2752">
        <v>2284.8000000000002</v>
      </c>
      <c r="I2752" t="str">
        <f t="shared" si="485"/>
        <v>Creative Support Ltd</v>
      </c>
      <c r="J2752" t="str">
        <f t="shared" si="489"/>
        <v>92a Highfield Road (Creative Support) Private Contractors Agency And Contracted Services Supported Living Adult Health &amp; Social Care</v>
      </c>
    </row>
    <row r="2753" spans="1:10" x14ac:dyDescent="0.35">
      <c r="A2753" t="str">
        <f t="shared" si="477"/>
        <v>MAR</v>
      </c>
      <c r="B2753" t="str">
        <f t="shared" si="487"/>
        <v>21</v>
      </c>
      <c r="C2753" t="str">
        <f t="shared" si="474"/>
        <v>2020/21</v>
      </c>
      <c r="D2753" t="str">
        <f t="shared" si="488"/>
        <v>SS SL 114893</v>
      </c>
      <c r="E2753" t="str">
        <f t="shared" si="475"/>
        <v>SS</v>
      </c>
      <c r="F2753" t="s">
        <v>25</v>
      </c>
      <c r="G2753" t="s">
        <v>22</v>
      </c>
      <c r="H2753">
        <v>2191.1999999999998</v>
      </c>
      <c r="I2753" t="str">
        <f t="shared" si="485"/>
        <v>Creative Support Ltd</v>
      </c>
      <c r="J2753" t="str">
        <f t="shared" si="489"/>
        <v>92a Highfield Road (Creative Support) Private Contractors Agency And Contracted Services Supported Living Adult Health &amp; Social Care</v>
      </c>
    </row>
    <row r="2754" spans="1:10" x14ac:dyDescent="0.35">
      <c r="A2754" t="str">
        <f t="shared" si="477"/>
        <v>MAR</v>
      </c>
      <c r="B2754" t="str">
        <f t="shared" si="487"/>
        <v>21</v>
      </c>
      <c r="C2754" t="str">
        <f t="shared" ref="C2754:C2817" si="490">"2020/21"</f>
        <v>2020/21</v>
      </c>
      <c r="D2754" t="str">
        <f t="shared" si="488"/>
        <v>SS SL 114893</v>
      </c>
      <c r="E2754" t="str">
        <f t="shared" ref="E2754:E2817" si="491">LEFT(D2754,2)</f>
        <v>SS</v>
      </c>
      <c r="F2754" t="s">
        <v>25</v>
      </c>
      <c r="G2754" t="s">
        <v>22</v>
      </c>
      <c r="H2754">
        <v>2921.6</v>
      </c>
      <c r="I2754" t="str">
        <f t="shared" si="485"/>
        <v>Creative Support Ltd</v>
      </c>
      <c r="J2754" t="str">
        <f t="shared" si="489"/>
        <v>92a Highfield Road (Creative Support) Private Contractors Agency And Contracted Services Supported Living Adult Health &amp; Social Care</v>
      </c>
    </row>
    <row r="2755" spans="1:10" x14ac:dyDescent="0.35">
      <c r="A2755" t="str">
        <f t="shared" si="477"/>
        <v>MAR</v>
      </c>
      <c r="B2755" t="str">
        <f t="shared" si="487"/>
        <v>21</v>
      </c>
      <c r="C2755" t="str">
        <f t="shared" si="490"/>
        <v>2020/21</v>
      </c>
      <c r="D2755" t="str">
        <f t="shared" si="488"/>
        <v>SS SL 114893</v>
      </c>
      <c r="E2755" t="str">
        <f t="shared" si="491"/>
        <v>SS</v>
      </c>
      <c r="F2755" t="s">
        <v>25</v>
      </c>
      <c r="G2755" t="s">
        <v>22</v>
      </c>
      <c r="H2755">
        <v>3452.8</v>
      </c>
      <c r="I2755" t="str">
        <f t="shared" si="485"/>
        <v>Creative Support Ltd</v>
      </c>
      <c r="J2755" t="str">
        <f t="shared" si="489"/>
        <v>92a Highfield Road (Creative Support) Private Contractors Agency And Contracted Services Supported Living Adult Health &amp; Social Care</v>
      </c>
    </row>
    <row r="2756" spans="1:10" x14ac:dyDescent="0.35">
      <c r="A2756" t="str">
        <f t="shared" si="477"/>
        <v>MAR</v>
      </c>
      <c r="B2756" t="str">
        <f t="shared" si="487"/>
        <v>21</v>
      </c>
      <c r="C2756" t="str">
        <f t="shared" si="490"/>
        <v>2020/21</v>
      </c>
      <c r="D2756" t="str">
        <f t="shared" si="488"/>
        <v>SS SL 114893</v>
      </c>
      <c r="E2756" t="str">
        <f t="shared" si="491"/>
        <v>SS</v>
      </c>
      <c r="F2756" t="s">
        <v>25</v>
      </c>
      <c r="G2756" t="s">
        <v>22</v>
      </c>
      <c r="H2756">
        <v>3984</v>
      </c>
      <c r="I2756" t="str">
        <f t="shared" si="485"/>
        <v>Creative Support Ltd</v>
      </c>
      <c r="J2756" t="str">
        <f t="shared" si="489"/>
        <v>92a Highfield Road (Creative Support) Private Contractors Agency And Contracted Services Supported Living Adult Health &amp; Social Care</v>
      </c>
    </row>
    <row r="2757" spans="1:10" x14ac:dyDescent="0.35">
      <c r="A2757" t="str">
        <f t="shared" si="477"/>
        <v>MAR</v>
      </c>
      <c r="B2757" t="str">
        <f t="shared" si="487"/>
        <v>21</v>
      </c>
      <c r="C2757" t="str">
        <f t="shared" si="490"/>
        <v>2020/21</v>
      </c>
      <c r="D2757" t="str">
        <f t="shared" si="488"/>
        <v>SS SL 114893</v>
      </c>
      <c r="E2757" t="str">
        <f t="shared" si="491"/>
        <v>SS</v>
      </c>
      <c r="F2757" t="s">
        <v>25</v>
      </c>
      <c r="G2757" t="s">
        <v>22</v>
      </c>
      <c r="H2757">
        <v>2921.6</v>
      </c>
      <c r="I2757" t="str">
        <f t="shared" si="485"/>
        <v>Creative Support Ltd</v>
      </c>
      <c r="J2757" t="str">
        <f t="shared" si="489"/>
        <v>92a Highfield Road (Creative Support) Private Contractors Agency And Contracted Services Supported Living Adult Health &amp; Social Care</v>
      </c>
    </row>
    <row r="2758" spans="1:10" x14ac:dyDescent="0.35">
      <c r="A2758" t="str">
        <f t="shared" si="477"/>
        <v>MAR</v>
      </c>
      <c r="B2758" t="str">
        <f t="shared" si="487"/>
        <v>21</v>
      </c>
      <c r="C2758" t="str">
        <f t="shared" si="490"/>
        <v>2020/21</v>
      </c>
      <c r="D2758" t="str">
        <f t="shared" si="488"/>
        <v>SS SL 114893</v>
      </c>
      <c r="E2758" t="str">
        <f t="shared" si="491"/>
        <v>SS</v>
      </c>
      <c r="F2758" t="s">
        <v>25</v>
      </c>
      <c r="G2758" t="s">
        <v>22</v>
      </c>
      <c r="H2758">
        <v>2284.8000000000002</v>
      </c>
      <c r="I2758" t="str">
        <f t="shared" si="485"/>
        <v>Creative Support Ltd</v>
      </c>
      <c r="J2758" t="str">
        <f t="shared" si="489"/>
        <v>92a Highfield Road (Creative Support) Private Contractors Agency And Contracted Services Supported Living Adult Health &amp; Social Care</v>
      </c>
    </row>
    <row r="2759" spans="1:10" x14ac:dyDescent="0.35">
      <c r="A2759" t="str">
        <f t="shared" si="477"/>
        <v>MAR</v>
      </c>
      <c r="B2759" t="str">
        <f t="shared" si="487"/>
        <v>21</v>
      </c>
      <c r="C2759" t="str">
        <f t="shared" si="490"/>
        <v>2020/21</v>
      </c>
      <c r="D2759" t="str">
        <f t="shared" si="488"/>
        <v>SS SL 114893</v>
      </c>
      <c r="E2759" t="str">
        <f t="shared" si="491"/>
        <v>SS</v>
      </c>
      <c r="F2759" t="s">
        <v>25</v>
      </c>
      <c r="G2759" t="s">
        <v>22</v>
      </c>
      <c r="H2759">
        <v>3452.8</v>
      </c>
      <c r="I2759" t="str">
        <f t="shared" si="485"/>
        <v>Creative Support Ltd</v>
      </c>
      <c r="J2759" t="str">
        <f t="shared" si="489"/>
        <v>92a Highfield Road (Creative Support) Private Contractors Agency And Contracted Services Supported Living Adult Health &amp; Social Care</v>
      </c>
    </row>
    <row r="2760" spans="1:10" x14ac:dyDescent="0.35">
      <c r="A2760" t="str">
        <f t="shared" si="477"/>
        <v>MAR</v>
      </c>
      <c r="B2760" t="str">
        <f t="shared" si="487"/>
        <v>21</v>
      </c>
      <c r="C2760" t="str">
        <f t="shared" si="490"/>
        <v>2020/21</v>
      </c>
      <c r="D2760" t="str">
        <f t="shared" si="488"/>
        <v>SS SL 114893</v>
      </c>
      <c r="E2760" t="str">
        <f t="shared" si="491"/>
        <v>SS</v>
      </c>
      <c r="F2760" t="s">
        <v>25</v>
      </c>
      <c r="G2760" t="s">
        <v>22</v>
      </c>
      <c r="H2760">
        <v>2191.1999999999998</v>
      </c>
      <c r="I2760" t="str">
        <f t="shared" si="485"/>
        <v>Creative Support Ltd</v>
      </c>
      <c r="J2760" t="str">
        <f t="shared" si="489"/>
        <v>92a Highfield Road (Creative Support) Private Contractors Agency And Contracted Services Supported Living Adult Health &amp; Social Care</v>
      </c>
    </row>
    <row r="2761" spans="1:10" x14ac:dyDescent="0.35">
      <c r="A2761" t="str">
        <f t="shared" si="477"/>
        <v>MAR</v>
      </c>
      <c r="B2761" t="str">
        <f t="shared" si="487"/>
        <v>21</v>
      </c>
      <c r="C2761" t="str">
        <f t="shared" si="490"/>
        <v>2020/21</v>
      </c>
      <c r="D2761" t="str">
        <f t="shared" si="488"/>
        <v>SS SL 114893</v>
      </c>
      <c r="E2761" t="str">
        <f t="shared" si="491"/>
        <v>SS</v>
      </c>
      <c r="F2761" t="s">
        <v>25</v>
      </c>
      <c r="G2761" t="s">
        <v>22</v>
      </c>
      <c r="H2761">
        <v>3452.8</v>
      </c>
      <c r="I2761" t="str">
        <f t="shared" si="485"/>
        <v>Creative Support Ltd</v>
      </c>
      <c r="J2761" t="str">
        <f t="shared" si="489"/>
        <v>92a Highfield Road (Creative Support) Private Contractors Agency And Contracted Services Supported Living Adult Health &amp; Social Care</v>
      </c>
    </row>
    <row r="2762" spans="1:10" x14ac:dyDescent="0.35">
      <c r="A2762" t="str">
        <f t="shared" ref="A2762:A2825" si="492">"MAR"</f>
        <v>MAR</v>
      </c>
      <c r="B2762" t="str">
        <f t="shared" si="487"/>
        <v>21</v>
      </c>
      <c r="C2762" t="str">
        <f t="shared" si="490"/>
        <v>2020/21</v>
      </c>
      <c r="D2762" t="str">
        <f t="shared" si="488"/>
        <v>SS SL 114893</v>
      </c>
      <c r="E2762" t="str">
        <f t="shared" si="491"/>
        <v>SS</v>
      </c>
      <c r="F2762" t="s">
        <v>25</v>
      </c>
      <c r="G2762" t="s">
        <v>22</v>
      </c>
      <c r="H2762">
        <v>3984</v>
      </c>
      <c r="I2762" t="str">
        <f t="shared" si="485"/>
        <v>Creative Support Ltd</v>
      </c>
      <c r="J2762" t="str">
        <f t="shared" si="489"/>
        <v>92a Highfield Road (Creative Support) Private Contractors Agency And Contracted Services Supported Living Adult Health &amp; Social Care</v>
      </c>
    </row>
    <row r="2763" spans="1:10" x14ac:dyDescent="0.35">
      <c r="A2763" t="str">
        <f t="shared" si="492"/>
        <v>MAR</v>
      </c>
      <c r="B2763" t="str">
        <f t="shared" si="487"/>
        <v>21</v>
      </c>
      <c r="C2763" t="str">
        <f t="shared" si="490"/>
        <v>2020/21</v>
      </c>
      <c r="D2763" t="str">
        <f t="shared" si="488"/>
        <v>SS SL 114893</v>
      </c>
      <c r="E2763" t="str">
        <f t="shared" si="491"/>
        <v>SS</v>
      </c>
      <c r="F2763" t="s">
        <v>25</v>
      </c>
      <c r="G2763" t="s">
        <v>22</v>
      </c>
      <c r="H2763">
        <v>2284.8000000000002</v>
      </c>
      <c r="I2763" t="str">
        <f t="shared" si="485"/>
        <v>Creative Support Ltd</v>
      </c>
      <c r="J2763" t="str">
        <f t="shared" si="489"/>
        <v>92a Highfield Road (Creative Support) Private Contractors Agency And Contracted Services Supported Living Adult Health &amp; Social Care</v>
      </c>
    </row>
    <row r="2764" spans="1:10" x14ac:dyDescent="0.35">
      <c r="A2764" t="str">
        <f t="shared" si="492"/>
        <v>MAR</v>
      </c>
      <c r="B2764" t="str">
        <f t="shared" si="487"/>
        <v>21</v>
      </c>
      <c r="C2764" t="str">
        <f t="shared" si="490"/>
        <v>2020/21</v>
      </c>
      <c r="D2764" t="str">
        <f t="shared" si="488"/>
        <v>SS SL 114893</v>
      </c>
      <c r="E2764" t="str">
        <f t="shared" si="491"/>
        <v>SS</v>
      </c>
      <c r="F2764" t="s">
        <v>25</v>
      </c>
      <c r="G2764" t="s">
        <v>22</v>
      </c>
      <c r="H2764">
        <v>2921.6</v>
      </c>
      <c r="I2764" t="str">
        <f t="shared" si="485"/>
        <v>Creative Support Ltd</v>
      </c>
      <c r="J2764" t="str">
        <f t="shared" si="489"/>
        <v>92a Highfield Road (Creative Support) Private Contractors Agency And Contracted Services Supported Living Adult Health &amp; Social Care</v>
      </c>
    </row>
    <row r="2765" spans="1:10" x14ac:dyDescent="0.35">
      <c r="A2765" t="str">
        <f t="shared" si="492"/>
        <v>MAR</v>
      </c>
      <c r="B2765" t="str">
        <f t="shared" si="487"/>
        <v>21</v>
      </c>
      <c r="C2765" t="str">
        <f t="shared" si="490"/>
        <v>2020/21</v>
      </c>
      <c r="D2765" t="str">
        <f t="shared" si="488"/>
        <v>SS SL 114893</v>
      </c>
      <c r="E2765" t="str">
        <f t="shared" si="491"/>
        <v>SS</v>
      </c>
      <c r="F2765" t="s">
        <v>25</v>
      </c>
      <c r="G2765" t="s">
        <v>22</v>
      </c>
      <c r="H2765">
        <v>2191.1999999999998</v>
      </c>
      <c r="I2765" t="str">
        <f t="shared" si="485"/>
        <v>Creative Support Ltd</v>
      </c>
      <c r="J2765" t="str">
        <f t="shared" si="489"/>
        <v>92a Highfield Road (Creative Support) Private Contractors Agency And Contracted Services Supported Living Adult Health &amp; Social Care</v>
      </c>
    </row>
    <row r="2766" spans="1:10" x14ac:dyDescent="0.35">
      <c r="A2766" t="str">
        <f t="shared" si="492"/>
        <v>MAR</v>
      </c>
      <c r="B2766" t="str">
        <f t="shared" si="487"/>
        <v>21</v>
      </c>
      <c r="C2766" t="str">
        <f t="shared" si="490"/>
        <v>2020/21</v>
      </c>
      <c r="D2766" t="str">
        <f>"SS SL 114906"</f>
        <v>SS SL 114906</v>
      </c>
      <c r="E2766" t="str">
        <f t="shared" si="491"/>
        <v>SS</v>
      </c>
      <c r="F2766" t="s">
        <v>25</v>
      </c>
      <c r="G2766" t="s">
        <v>22</v>
      </c>
      <c r="H2766">
        <v>498</v>
      </c>
      <c r="I2766" t="str">
        <f t="shared" ref="I2766:I2778" si="493">"Future Directions CIC"</f>
        <v>Future Directions CIC</v>
      </c>
      <c r="J2766" t="str">
        <f t="shared" ref="J2766:J2778" si="494">"Endeavour House (Future Directions) Private Contractors Agency And Contracted Services Supported Living Adult Health &amp; Social Care"</f>
        <v>Endeavour House (Future Directions) Private Contractors Agency And Contracted Services Supported Living Adult Health &amp; Social Care</v>
      </c>
    </row>
    <row r="2767" spans="1:10" x14ac:dyDescent="0.35">
      <c r="A2767" t="str">
        <f t="shared" si="492"/>
        <v>MAR</v>
      </c>
      <c r="B2767" t="str">
        <f t="shared" si="487"/>
        <v>21</v>
      </c>
      <c r="C2767" t="str">
        <f t="shared" si="490"/>
        <v>2020/21</v>
      </c>
      <c r="D2767" t="str">
        <f>"SS SL 114903"</f>
        <v>SS SL 114903</v>
      </c>
      <c r="E2767" t="str">
        <f t="shared" si="491"/>
        <v>SS</v>
      </c>
      <c r="F2767" t="s">
        <v>25</v>
      </c>
      <c r="G2767" t="s">
        <v>22</v>
      </c>
      <c r="H2767">
        <v>3625.6</v>
      </c>
      <c r="I2767" t="str">
        <f t="shared" si="493"/>
        <v>Future Directions CIC</v>
      </c>
      <c r="J2767" t="str">
        <f t="shared" si="494"/>
        <v>Endeavour House (Future Directions) Private Contractors Agency And Contracted Services Supported Living Adult Health &amp; Social Care</v>
      </c>
    </row>
    <row r="2768" spans="1:10" x14ac:dyDescent="0.35">
      <c r="A2768" t="str">
        <f t="shared" si="492"/>
        <v>MAR</v>
      </c>
      <c r="B2768" t="str">
        <f t="shared" si="487"/>
        <v>21</v>
      </c>
      <c r="C2768" t="str">
        <f t="shared" si="490"/>
        <v>2020/21</v>
      </c>
      <c r="D2768" t="str">
        <f>"SS SL 114906"</f>
        <v>SS SL 114906</v>
      </c>
      <c r="E2768" t="str">
        <f t="shared" si="491"/>
        <v>SS</v>
      </c>
      <c r="F2768" t="s">
        <v>25</v>
      </c>
      <c r="G2768" t="s">
        <v>22</v>
      </c>
      <c r="H2768">
        <v>619.52</v>
      </c>
      <c r="I2768" t="str">
        <f t="shared" si="493"/>
        <v>Future Directions CIC</v>
      </c>
      <c r="J2768" t="str">
        <f t="shared" si="494"/>
        <v>Endeavour House (Future Directions) Private Contractors Agency And Contracted Services Supported Living Adult Health &amp; Social Care</v>
      </c>
    </row>
    <row r="2769" spans="1:10" x14ac:dyDescent="0.35">
      <c r="A2769" t="str">
        <f t="shared" si="492"/>
        <v>MAR</v>
      </c>
      <c r="B2769" t="str">
        <f t="shared" si="487"/>
        <v>21</v>
      </c>
      <c r="C2769" t="str">
        <f t="shared" si="490"/>
        <v>2020/21</v>
      </c>
      <c r="D2769" t="str">
        <f>"SS SL 114903"</f>
        <v>SS SL 114903</v>
      </c>
      <c r="E2769" t="str">
        <f t="shared" si="491"/>
        <v>SS</v>
      </c>
      <c r="F2769" t="s">
        <v>25</v>
      </c>
      <c r="G2769" t="s">
        <v>22</v>
      </c>
      <c r="H2769">
        <v>3841.4</v>
      </c>
      <c r="I2769" t="str">
        <f t="shared" si="493"/>
        <v>Future Directions CIC</v>
      </c>
      <c r="J2769" t="str">
        <f t="shared" si="494"/>
        <v>Endeavour House (Future Directions) Private Contractors Agency And Contracted Services Supported Living Adult Health &amp; Social Care</v>
      </c>
    </row>
    <row r="2770" spans="1:10" x14ac:dyDescent="0.35">
      <c r="A2770" t="str">
        <f t="shared" si="492"/>
        <v>MAR</v>
      </c>
      <c r="B2770" t="str">
        <f t="shared" si="487"/>
        <v>21</v>
      </c>
      <c r="C2770" t="str">
        <f t="shared" si="490"/>
        <v>2020/21</v>
      </c>
      <c r="D2770" t="str">
        <f>"SS SL 114906"</f>
        <v>SS SL 114906</v>
      </c>
      <c r="E2770" t="str">
        <f t="shared" si="491"/>
        <v>SS</v>
      </c>
      <c r="F2770" t="s">
        <v>25</v>
      </c>
      <c r="G2770" t="s">
        <v>22</v>
      </c>
      <c r="H2770">
        <v>664</v>
      </c>
      <c r="I2770" t="str">
        <f t="shared" si="493"/>
        <v>Future Directions CIC</v>
      </c>
      <c r="J2770" t="str">
        <f t="shared" si="494"/>
        <v>Endeavour House (Future Directions) Private Contractors Agency And Contracted Services Supported Living Adult Health &amp; Social Care</v>
      </c>
    </row>
    <row r="2771" spans="1:10" x14ac:dyDescent="0.35">
      <c r="A2771" t="str">
        <f t="shared" si="492"/>
        <v>MAR</v>
      </c>
      <c r="B2771" t="str">
        <f t="shared" si="487"/>
        <v>21</v>
      </c>
      <c r="C2771" t="str">
        <f t="shared" si="490"/>
        <v>2020/21</v>
      </c>
      <c r="D2771" t="str">
        <f>"SS SL 114904"</f>
        <v>SS SL 114904</v>
      </c>
      <c r="E2771" t="str">
        <f t="shared" si="491"/>
        <v>SS</v>
      </c>
      <c r="F2771" t="s">
        <v>25</v>
      </c>
      <c r="G2771" t="s">
        <v>22</v>
      </c>
      <c r="H2771">
        <v>2732</v>
      </c>
      <c r="I2771" t="str">
        <f t="shared" si="493"/>
        <v>Future Directions CIC</v>
      </c>
      <c r="J2771" t="str">
        <f t="shared" si="494"/>
        <v>Endeavour House (Future Directions) Private Contractors Agency And Contracted Services Supported Living Adult Health &amp; Social Care</v>
      </c>
    </row>
    <row r="2772" spans="1:10" x14ac:dyDescent="0.35">
      <c r="A2772" t="str">
        <f t="shared" si="492"/>
        <v>MAR</v>
      </c>
      <c r="B2772" t="str">
        <f t="shared" si="487"/>
        <v>21</v>
      </c>
      <c r="C2772" t="str">
        <f t="shared" si="490"/>
        <v>2020/21</v>
      </c>
      <c r="D2772" t="str">
        <f>"SS SL 114903"</f>
        <v>SS SL 114903</v>
      </c>
      <c r="E2772" t="str">
        <f t="shared" si="491"/>
        <v>SS</v>
      </c>
      <c r="F2772" t="s">
        <v>25</v>
      </c>
      <c r="G2772" t="s">
        <v>22</v>
      </c>
      <c r="H2772">
        <v>3492.8</v>
      </c>
      <c r="I2772" t="str">
        <f t="shared" si="493"/>
        <v>Future Directions CIC</v>
      </c>
      <c r="J2772" t="str">
        <f t="shared" si="494"/>
        <v>Endeavour House (Future Directions) Private Contractors Agency And Contracted Services Supported Living Adult Health &amp; Social Care</v>
      </c>
    </row>
    <row r="2773" spans="1:10" x14ac:dyDescent="0.35">
      <c r="A2773" t="str">
        <f t="shared" si="492"/>
        <v>MAR</v>
      </c>
      <c r="B2773" t="str">
        <f t="shared" si="487"/>
        <v>21</v>
      </c>
      <c r="C2773" t="str">
        <f t="shared" si="490"/>
        <v>2020/21</v>
      </c>
      <c r="D2773" t="str">
        <f>"SS SL 114903"</f>
        <v>SS SL 114903</v>
      </c>
      <c r="E2773" t="str">
        <f t="shared" si="491"/>
        <v>SS</v>
      </c>
      <c r="F2773" t="s">
        <v>25</v>
      </c>
      <c r="G2773" t="s">
        <v>22</v>
      </c>
      <c r="H2773">
        <v>3492.8</v>
      </c>
      <c r="I2773" t="str">
        <f t="shared" si="493"/>
        <v>Future Directions CIC</v>
      </c>
      <c r="J2773" t="str">
        <f t="shared" si="494"/>
        <v>Endeavour House (Future Directions) Private Contractors Agency And Contracted Services Supported Living Adult Health &amp; Social Care</v>
      </c>
    </row>
    <row r="2774" spans="1:10" x14ac:dyDescent="0.35">
      <c r="A2774" t="str">
        <f t="shared" si="492"/>
        <v>MAR</v>
      </c>
      <c r="B2774" t="str">
        <f t="shared" si="487"/>
        <v>21</v>
      </c>
      <c r="C2774" t="str">
        <f t="shared" si="490"/>
        <v>2020/21</v>
      </c>
      <c r="D2774" t="str">
        <f>"SS SL 114904"</f>
        <v>SS SL 114904</v>
      </c>
      <c r="E2774" t="str">
        <f t="shared" si="491"/>
        <v>SS</v>
      </c>
      <c r="F2774" t="s">
        <v>25</v>
      </c>
      <c r="G2774" t="s">
        <v>22</v>
      </c>
      <c r="H2774">
        <v>3708.6</v>
      </c>
      <c r="I2774" t="str">
        <f t="shared" si="493"/>
        <v>Future Directions CIC</v>
      </c>
      <c r="J2774" t="str">
        <f t="shared" si="494"/>
        <v>Endeavour House (Future Directions) Private Contractors Agency And Contracted Services Supported Living Adult Health &amp; Social Care</v>
      </c>
    </row>
    <row r="2775" spans="1:10" x14ac:dyDescent="0.35">
      <c r="A2775" t="str">
        <f t="shared" si="492"/>
        <v>MAR</v>
      </c>
      <c r="B2775" t="str">
        <f t="shared" si="487"/>
        <v>21</v>
      </c>
      <c r="C2775" t="str">
        <f t="shared" si="490"/>
        <v>2020/21</v>
      </c>
      <c r="D2775" t="str">
        <f>"SS SL 114904"</f>
        <v>SS SL 114904</v>
      </c>
      <c r="E2775" t="str">
        <f t="shared" si="491"/>
        <v>SS</v>
      </c>
      <c r="F2775" t="s">
        <v>25</v>
      </c>
      <c r="G2775" t="s">
        <v>22</v>
      </c>
      <c r="H2775">
        <v>3130.92</v>
      </c>
      <c r="I2775" t="str">
        <f t="shared" si="493"/>
        <v>Future Directions CIC</v>
      </c>
      <c r="J2775" t="str">
        <f t="shared" si="494"/>
        <v>Endeavour House (Future Directions) Private Contractors Agency And Contracted Services Supported Living Adult Health &amp; Social Care</v>
      </c>
    </row>
    <row r="2776" spans="1:10" x14ac:dyDescent="0.35">
      <c r="A2776" t="str">
        <f t="shared" si="492"/>
        <v>MAR</v>
      </c>
      <c r="B2776" t="str">
        <f t="shared" si="487"/>
        <v>21</v>
      </c>
      <c r="C2776" t="str">
        <f t="shared" si="490"/>
        <v>2020/21</v>
      </c>
      <c r="D2776" t="str">
        <f>"SS SL 114906"</f>
        <v>SS SL 114906</v>
      </c>
      <c r="E2776" t="str">
        <f t="shared" si="491"/>
        <v>SS</v>
      </c>
      <c r="F2776" t="s">
        <v>25</v>
      </c>
      <c r="G2776" t="s">
        <v>22</v>
      </c>
      <c r="H2776">
        <v>265.60000000000002</v>
      </c>
      <c r="I2776" t="str">
        <f t="shared" si="493"/>
        <v>Future Directions CIC</v>
      </c>
      <c r="J2776" t="str">
        <f t="shared" si="494"/>
        <v>Endeavour House (Future Directions) Private Contractors Agency And Contracted Services Supported Living Adult Health &amp; Social Care</v>
      </c>
    </row>
    <row r="2777" spans="1:10" x14ac:dyDescent="0.35">
      <c r="A2777" t="str">
        <f t="shared" si="492"/>
        <v>MAR</v>
      </c>
      <c r="B2777" t="str">
        <f t="shared" si="487"/>
        <v>21</v>
      </c>
      <c r="C2777" t="str">
        <f t="shared" si="490"/>
        <v>2020/21</v>
      </c>
      <c r="D2777" t="str">
        <f>"SS SL 114906"</f>
        <v>SS SL 114906</v>
      </c>
      <c r="E2777" t="str">
        <f t="shared" si="491"/>
        <v>SS</v>
      </c>
      <c r="F2777" t="s">
        <v>25</v>
      </c>
      <c r="G2777" t="s">
        <v>22</v>
      </c>
      <c r="H2777">
        <v>996</v>
      </c>
      <c r="I2777" t="str">
        <f t="shared" si="493"/>
        <v>Future Directions CIC</v>
      </c>
      <c r="J2777" t="str">
        <f t="shared" si="494"/>
        <v>Endeavour House (Future Directions) Private Contractors Agency And Contracted Services Supported Living Adult Health &amp; Social Care</v>
      </c>
    </row>
    <row r="2778" spans="1:10" x14ac:dyDescent="0.35">
      <c r="A2778" t="str">
        <f t="shared" si="492"/>
        <v>MAR</v>
      </c>
      <c r="B2778" t="str">
        <f t="shared" si="487"/>
        <v>21</v>
      </c>
      <c r="C2778" t="str">
        <f t="shared" si="490"/>
        <v>2020/21</v>
      </c>
      <c r="D2778" t="str">
        <f>"SS SL 114903"</f>
        <v>SS SL 114903</v>
      </c>
      <c r="E2778" t="str">
        <f t="shared" si="491"/>
        <v>SS</v>
      </c>
      <c r="F2778" t="s">
        <v>25</v>
      </c>
      <c r="G2778" t="s">
        <v>22</v>
      </c>
      <c r="H2778">
        <v>3509.4</v>
      </c>
      <c r="I2778" t="str">
        <f t="shared" si="493"/>
        <v>Future Directions CIC</v>
      </c>
      <c r="J2778" t="str">
        <f t="shared" si="494"/>
        <v>Endeavour House (Future Directions) Private Contractors Agency And Contracted Services Supported Living Adult Health &amp; Social Care</v>
      </c>
    </row>
    <row r="2779" spans="1:10" x14ac:dyDescent="0.35">
      <c r="A2779" t="str">
        <f t="shared" si="492"/>
        <v>MAR</v>
      </c>
      <c r="B2779" t="str">
        <f t="shared" si="487"/>
        <v>21</v>
      </c>
      <c r="C2779" t="str">
        <f t="shared" si="490"/>
        <v>2020/21</v>
      </c>
      <c r="D2779" t="str">
        <f t="shared" ref="D2779:D2785" si="495">"SS SL 114847"</f>
        <v>SS SL 114847</v>
      </c>
      <c r="E2779" t="str">
        <f t="shared" si="491"/>
        <v>SS</v>
      </c>
      <c r="F2779" t="s">
        <v>25</v>
      </c>
      <c r="G2779" t="s">
        <v>22</v>
      </c>
      <c r="H2779">
        <v>2390.4</v>
      </c>
      <c r="I2779" t="str">
        <f t="shared" ref="I2779:I2785" si="496">"The Mayfield Trust"</f>
        <v>The Mayfield Trust</v>
      </c>
      <c r="J2779" t="str">
        <f t="shared" ref="J2779:J2785" si="497">"Dalecroft (Mayfield Trust) Private Contractors Agency And Contracted Services Supported Living Adult Health &amp; Social Care"</f>
        <v>Dalecroft (Mayfield Trust) Private Contractors Agency And Contracted Services Supported Living Adult Health &amp; Social Care</v>
      </c>
    </row>
    <row r="2780" spans="1:10" x14ac:dyDescent="0.35">
      <c r="A2780" t="str">
        <f t="shared" si="492"/>
        <v>MAR</v>
      </c>
      <c r="B2780" t="str">
        <f t="shared" si="487"/>
        <v>21</v>
      </c>
      <c r="C2780" t="str">
        <f t="shared" si="490"/>
        <v>2020/21</v>
      </c>
      <c r="D2780" t="str">
        <f t="shared" si="495"/>
        <v>SS SL 114847</v>
      </c>
      <c r="E2780" t="str">
        <f t="shared" si="491"/>
        <v>SS</v>
      </c>
      <c r="F2780" t="s">
        <v>25</v>
      </c>
      <c r="G2780" t="s">
        <v>22</v>
      </c>
      <c r="H2780">
        <v>2390.4</v>
      </c>
      <c r="I2780" t="str">
        <f t="shared" si="496"/>
        <v>The Mayfield Trust</v>
      </c>
      <c r="J2780" t="str">
        <f t="shared" si="497"/>
        <v>Dalecroft (Mayfield Trust) Private Contractors Agency And Contracted Services Supported Living Adult Health &amp; Social Care</v>
      </c>
    </row>
    <row r="2781" spans="1:10" x14ac:dyDescent="0.35">
      <c r="A2781" t="str">
        <f t="shared" si="492"/>
        <v>MAR</v>
      </c>
      <c r="B2781" t="str">
        <f t="shared" si="487"/>
        <v>21</v>
      </c>
      <c r="C2781" t="str">
        <f t="shared" si="490"/>
        <v>2020/21</v>
      </c>
      <c r="D2781" t="str">
        <f t="shared" si="495"/>
        <v>SS SL 114847</v>
      </c>
      <c r="E2781" t="str">
        <f t="shared" si="491"/>
        <v>SS</v>
      </c>
      <c r="F2781" t="s">
        <v>25</v>
      </c>
      <c r="G2781" t="s">
        <v>22</v>
      </c>
      <c r="H2781">
        <v>2390.4</v>
      </c>
      <c r="I2781" t="str">
        <f t="shared" si="496"/>
        <v>The Mayfield Trust</v>
      </c>
      <c r="J2781" t="str">
        <f t="shared" si="497"/>
        <v>Dalecroft (Mayfield Trust) Private Contractors Agency And Contracted Services Supported Living Adult Health &amp; Social Care</v>
      </c>
    </row>
    <row r="2782" spans="1:10" x14ac:dyDescent="0.35">
      <c r="A2782" t="str">
        <f t="shared" si="492"/>
        <v>MAR</v>
      </c>
      <c r="B2782" t="str">
        <f t="shared" si="487"/>
        <v>21</v>
      </c>
      <c r="C2782" t="str">
        <f t="shared" si="490"/>
        <v>2020/21</v>
      </c>
      <c r="D2782" t="str">
        <f t="shared" si="495"/>
        <v>SS SL 114847</v>
      </c>
      <c r="E2782" t="str">
        <f t="shared" si="491"/>
        <v>SS</v>
      </c>
      <c r="F2782" t="s">
        <v>25</v>
      </c>
      <c r="G2782" t="s">
        <v>22</v>
      </c>
      <c r="H2782">
        <v>6739.6</v>
      </c>
      <c r="I2782" t="str">
        <f t="shared" si="496"/>
        <v>The Mayfield Trust</v>
      </c>
      <c r="J2782" t="str">
        <f t="shared" si="497"/>
        <v>Dalecroft (Mayfield Trust) Private Contractors Agency And Contracted Services Supported Living Adult Health &amp; Social Care</v>
      </c>
    </row>
    <row r="2783" spans="1:10" x14ac:dyDescent="0.35">
      <c r="A2783" t="str">
        <f t="shared" si="492"/>
        <v>MAR</v>
      </c>
      <c r="B2783" t="str">
        <f t="shared" si="487"/>
        <v>21</v>
      </c>
      <c r="C2783" t="str">
        <f t="shared" si="490"/>
        <v>2020/21</v>
      </c>
      <c r="D2783" t="str">
        <f t="shared" si="495"/>
        <v>SS SL 114847</v>
      </c>
      <c r="E2783" t="str">
        <f t="shared" si="491"/>
        <v>SS</v>
      </c>
      <c r="F2783" t="s">
        <v>25</v>
      </c>
      <c r="G2783" t="s">
        <v>22</v>
      </c>
      <c r="H2783">
        <v>2390.4</v>
      </c>
      <c r="I2783" t="str">
        <f t="shared" si="496"/>
        <v>The Mayfield Trust</v>
      </c>
      <c r="J2783" t="str">
        <f t="shared" si="497"/>
        <v>Dalecroft (Mayfield Trust) Private Contractors Agency And Contracted Services Supported Living Adult Health &amp; Social Care</v>
      </c>
    </row>
    <row r="2784" spans="1:10" x14ac:dyDescent="0.35">
      <c r="A2784" t="str">
        <f t="shared" si="492"/>
        <v>MAR</v>
      </c>
      <c r="B2784" t="str">
        <f t="shared" si="487"/>
        <v>21</v>
      </c>
      <c r="C2784" t="str">
        <f t="shared" si="490"/>
        <v>2020/21</v>
      </c>
      <c r="D2784" t="str">
        <f t="shared" si="495"/>
        <v>SS SL 114847</v>
      </c>
      <c r="E2784" t="str">
        <f t="shared" si="491"/>
        <v>SS</v>
      </c>
      <c r="F2784" t="s">
        <v>25</v>
      </c>
      <c r="G2784" t="s">
        <v>22</v>
      </c>
      <c r="H2784">
        <v>3718.4</v>
      </c>
      <c r="I2784" t="str">
        <f t="shared" si="496"/>
        <v>The Mayfield Trust</v>
      </c>
      <c r="J2784" t="str">
        <f t="shared" si="497"/>
        <v>Dalecroft (Mayfield Trust) Private Contractors Agency And Contracted Services Supported Living Adult Health &amp; Social Care</v>
      </c>
    </row>
    <row r="2785" spans="1:10" x14ac:dyDescent="0.35">
      <c r="A2785" t="str">
        <f t="shared" si="492"/>
        <v>MAR</v>
      </c>
      <c r="B2785" t="str">
        <f t="shared" si="487"/>
        <v>21</v>
      </c>
      <c r="C2785" t="str">
        <f t="shared" si="490"/>
        <v>2020/21</v>
      </c>
      <c r="D2785" t="str">
        <f t="shared" si="495"/>
        <v>SS SL 114847</v>
      </c>
      <c r="E2785" t="str">
        <f t="shared" si="491"/>
        <v>SS</v>
      </c>
      <c r="F2785" t="s">
        <v>25</v>
      </c>
      <c r="G2785" t="s">
        <v>22</v>
      </c>
      <c r="H2785">
        <v>3320</v>
      </c>
      <c r="I2785" t="str">
        <f t="shared" si="496"/>
        <v>The Mayfield Trust</v>
      </c>
      <c r="J2785" t="str">
        <f t="shared" si="497"/>
        <v>Dalecroft (Mayfield Trust) Private Contractors Agency And Contracted Services Supported Living Adult Health &amp; Social Care</v>
      </c>
    </row>
    <row r="2786" spans="1:10" x14ac:dyDescent="0.35">
      <c r="A2786" t="str">
        <f t="shared" si="492"/>
        <v>MAR</v>
      </c>
      <c r="B2786" t="str">
        <f t="shared" si="487"/>
        <v>21</v>
      </c>
      <c r="C2786" t="str">
        <f t="shared" si="490"/>
        <v>2020/21</v>
      </c>
      <c r="D2786" t="str">
        <f t="shared" ref="D2786:D2797" si="498">"SS SL 114879"</f>
        <v>SS SL 114879</v>
      </c>
      <c r="E2786" t="str">
        <f t="shared" si="491"/>
        <v>SS</v>
      </c>
      <c r="F2786" t="s">
        <v>25</v>
      </c>
      <c r="G2786" t="s">
        <v>22</v>
      </c>
      <c r="H2786">
        <v>3320</v>
      </c>
      <c r="I2786" t="str">
        <f t="shared" ref="I2786:I2817" si="499">"Creative Support Ltd"</f>
        <v>Creative Support Ltd</v>
      </c>
      <c r="J2786" t="str">
        <f t="shared" ref="J2786:J2797" si="500">"42 Church Lane (Creative Support) Private Contractors Agency And Contracted Services Supported Living Adult Health &amp; Social Care"</f>
        <v>42 Church Lane (Creative Support) Private Contractors Agency And Contracted Services Supported Living Adult Health &amp; Social Care</v>
      </c>
    </row>
    <row r="2787" spans="1:10" x14ac:dyDescent="0.35">
      <c r="A2787" t="str">
        <f t="shared" si="492"/>
        <v>MAR</v>
      </c>
      <c r="B2787" t="str">
        <f t="shared" si="487"/>
        <v>21</v>
      </c>
      <c r="C2787" t="str">
        <f t="shared" si="490"/>
        <v>2020/21</v>
      </c>
      <c r="D2787" t="str">
        <f t="shared" si="498"/>
        <v>SS SL 114879</v>
      </c>
      <c r="E2787" t="str">
        <f t="shared" si="491"/>
        <v>SS</v>
      </c>
      <c r="F2787" t="s">
        <v>25</v>
      </c>
      <c r="G2787" t="s">
        <v>22</v>
      </c>
      <c r="H2787">
        <v>1713.6</v>
      </c>
      <c r="I2787" t="str">
        <f t="shared" si="499"/>
        <v>Creative Support Ltd</v>
      </c>
      <c r="J2787" t="str">
        <f t="shared" si="500"/>
        <v>42 Church Lane (Creative Support) Private Contractors Agency And Contracted Services Supported Living Adult Health &amp; Social Care</v>
      </c>
    </row>
    <row r="2788" spans="1:10" x14ac:dyDescent="0.35">
      <c r="A2788" t="str">
        <f t="shared" si="492"/>
        <v>MAR</v>
      </c>
      <c r="B2788" t="str">
        <f t="shared" si="487"/>
        <v>21</v>
      </c>
      <c r="C2788" t="str">
        <f t="shared" si="490"/>
        <v>2020/21</v>
      </c>
      <c r="D2788" t="str">
        <f t="shared" si="498"/>
        <v>SS SL 114879</v>
      </c>
      <c r="E2788" t="str">
        <f t="shared" si="491"/>
        <v>SS</v>
      </c>
      <c r="F2788" t="s">
        <v>25</v>
      </c>
      <c r="G2788" t="s">
        <v>22</v>
      </c>
      <c r="H2788">
        <v>4780.8</v>
      </c>
      <c r="I2788" t="str">
        <f t="shared" si="499"/>
        <v>Creative Support Ltd</v>
      </c>
      <c r="J2788" t="str">
        <f t="shared" si="500"/>
        <v>42 Church Lane (Creative Support) Private Contractors Agency And Contracted Services Supported Living Adult Health &amp; Social Care</v>
      </c>
    </row>
    <row r="2789" spans="1:10" x14ac:dyDescent="0.35">
      <c r="A2789" t="str">
        <f t="shared" si="492"/>
        <v>MAR</v>
      </c>
      <c r="B2789" t="str">
        <f t="shared" si="487"/>
        <v>21</v>
      </c>
      <c r="C2789" t="str">
        <f t="shared" si="490"/>
        <v>2020/21</v>
      </c>
      <c r="D2789" t="str">
        <f t="shared" si="498"/>
        <v>SS SL 114879</v>
      </c>
      <c r="E2789" t="str">
        <f t="shared" si="491"/>
        <v>SS</v>
      </c>
      <c r="F2789" t="s">
        <v>25</v>
      </c>
      <c r="G2789" t="s">
        <v>22</v>
      </c>
      <c r="H2789">
        <v>5179.2</v>
      </c>
      <c r="I2789" t="str">
        <f t="shared" si="499"/>
        <v>Creative Support Ltd</v>
      </c>
      <c r="J2789" t="str">
        <f t="shared" si="500"/>
        <v>42 Church Lane (Creative Support) Private Contractors Agency And Contracted Services Supported Living Adult Health &amp; Social Care</v>
      </c>
    </row>
    <row r="2790" spans="1:10" x14ac:dyDescent="0.35">
      <c r="A2790" t="str">
        <f t="shared" si="492"/>
        <v>MAR</v>
      </c>
      <c r="B2790" t="str">
        <f t="shared" si="487"/>
        <v>21</v>
      </c>
      <c r="C2790" t="str">
        <f t="shared" si="490"/>
        <v>2020/21</v>
      </c>
      <c r="D2790" t="str">
        <f t="shared" si="498"/>
        <v>SS SL 114879</v>
      </c>
      <c r="E2790" t="str">
        <f t="shared" si="491"/>
        <v>SS</v>
      </c>
      <c r="F2790" t="s">
        <v>25</v>
      </c>
      <c r="G2790" t="s">
        <v>22</v>
      </c>
      <c r="H2790">
        <v>5179.2</v>
      </c>
      <c r="I2790" t="str">
        <f t="shared" si="499"/>
        <v>Creative Support Ltd</v>
      </c>
      <c r="J2790" t="str">
        <f t="shared" si="500"/>
        <v>42 Church Lane (Creative Support) Private Contractors Agency And Contracted Services Supported Living Adult Health &amp; Social Care</v>
      </c>
    </row>
    <row r="2791" spans="1:10" x14ac:dyDescent="0.35">
      <c r="A2791" t="str">
        <f t="shared" si="492"/>
        <v>MAR</v>
      </c>
      <c r="B2791" t="str">
        <f t="shared" si="487"/>
        <v>21</v>
      </c>
      <c r="C2791" t="str">
        <f t="shared" si="490"/>
        <v>2020/21</v>
      </c>
      <c r="D2791" t="str">
        <f t="shared" si="498"/>
        <v>SS SL 114879</v>
      </c>
      <c r="E2791" t="str">
        <f t="shared" si="491"/>
        <v>SS</v>
      </c>
      <c r="F2791" t="s">
        <v>25</v>
      </c>
      <c r="G2791" t="s">
        <v>22</v>
      </c>
      <c r="H2791">
        <v>4780.8</v>
      </c>
      <c r="I2791" t="str">
        <f t="shared" si="499"/>
        <v>Creative Support Ltd</v>
      </c>
      <c r="J2791" t="str">
        <f t="shared" si="500"/>
        <v>42 Church Lane (Creative Support) Private Contractors Agency And Contracted Services Supported Living Adult Health &amp; Social Care</v>
      </c>
    </row>
    <row r="2792" spans="1:10" x14ac:dyDescent="0.35">
      <c r="A2792" t="str">
        <f t="shared" si="492"/>
        <v>MAR</v>
      </c>
      <c r="B2792" t="str">
        <f t="shared" si="487"/>
        <v>21</v>
      </c>
      <c r="C2792" t="str">
        <f t="shared" si="490"/>
        <v>2020/21</v>
      </c>
      <c r="D2792" t="str">
        <f t="shared" si="498"/>
        <v>SS SL 114879</v>
      </c>
      <c r="E2792" t="str">
        <f t="shared" si="491"/>
        <v>SS</v>
      </c>
      <c r="F2792" t="s">
        <v>25</v>
      </c>
      <c r="G2792" t="s">
        <v>22</v>
      </c>
      <c r="H2792">
        <v>1713.6</v>
      </c>
      <c r="I2792" t="str">
        <f t="shared" si="499"/>
        <v>Creative Support Ltd</v>
      </c>
      <c r="J2792" t="str">
        <f t="shared" si="500"/>
        <v>42 Church Lane (Creative Support) Private Contractors Agency And Contracted Services Supported Living Adult Health &amp; Social Care</v>
      </c>
    </row>
    <row r="2793" spans="1:10" x14ac:dyDescent="0.35">
      <c r="A2793" t="str">
        <f t="shared" si="492"/>
        <v>MAR</v>
      </c>
      <c r="B2793" t="str">
        <f t="shared" si="487"/>
        <v>21</v>
      </c>
      <c r="C2793" t="str">
        <f t="shared" si="490"/>
        <v>2020/21</v>
      </c>
      <c r="D2793" t="str">
        <f t="shared" si="498"/>
        <v>SS SL 114879</v>
      </c>
      <c r="E2793" t="str">
        <f t="shared" si="491"/>
        <v>SS</v>
      </c>
      <c r="F2793" t="s">
        <v>25</v>
      </c>
      <c r="G2793" t="s">
        <v>22</v>
      </c>
      <c r="H2793">
        <v>3320</v>
      </c>
      <c r="I2793" t="str">
        <f t="shared" si="499"/>
        <v>Creative Support Ltd</v>
      </c>
      <c r="J2793" t="str">
        <f t="shared" si="500"/>
        <v>42 Church Lane (Creative Support) Private Contractors Agency And Contracted Services Supported Living Adult Health &amp; Social Care</v>
      </c>
    </row>
    <row r="2794" spans="1:10" x14ac:dyDescent="0.35">
      <c r="A2794" t="str">
        <f t="shared" si="492"/>
        <v>MAR</v>
      </c>
      <c r="B2794" t="str">
        <f t="shared" si="487"/>
        <v>21</v>
      </c>
      <c r="C2794" t="str">
        <f t="shared" si="490"/>
        <v>2020/21</v>
      </c>
      <c r="D2794" t="str">
        <f t="shared" si="498"/>
        <v>SS SL 114879</v>
      </c>
      <c r="E2794" t="str">
        <f t="shared" si="491"/>
        <v>SS</v>
      </c>
      <c r="F2794" t="s">
        <v>25</v>
      </c>
      <c r="G2794" t="s">
        <v>22</v>
      </c>
      <c r="H2794">
        <v>4780.8</v>
      </c>
      <c r="I2794" t="str">
        <f t="shared" si="499"/>
        <v>Creative Support Ltd</v>
      </c>
      <c r="J2794" t="str">
        <f t="shared" si="500"/>
        <v>42 Church Lane (Creative Support) Private Contractors Agency And Contracted Services Supported Living Adult Health &amp; Social Care</v>
      </c>
    </row>
    <row r="2795" spans="1:10" x14ac:dyDescent="0.35">
      <c r="A2795" t="str">
        <f t="shared" si="492"/>
        <v>MAR</v>
      </c>
      <c r="B2795" t="str">
        <f t="shared" si="487"/>
        <v>21</v>
      </c>
      <c r="C2795" t="str">
        <f t="shared" si="490"/>
        <v>2020/21</v>
      </c>
      <c r="D2795" t="str">
        <f t="shared" si="498"/>
        <v>SS SL 114879</v>
      </c>
      <c r="E2795" t="str">
        <f t="shared" si="491"/>
        <v>SS</v>
      </c>
      <c r="F2795" t="s">
        <v>25</v>
      </c>
      <c r="G2795" t="s">
        <v>22</v>
      </c>
      <c r="H2795">
        <v>3320</v>
      </c>
      <c r="I2795" t="str">
        <f t="shared" si="499"/>
        <v>Creative Support Ltd</v>
      </c>
      <c r="J2795" t="str">
        <f t="shared" si="500"/>
        <v>42 Church Lane (Creative Support) Private Contractors Agency And Contracted Services Supported Living Adult Health &amp; Social Care</v>
      </c>
    </row>
    <row r="2796" spans="1:10" x14ac:dyDescent="0.35">
      <c r="A2796" t="str">
        <f t="shared" si="492"/>
        <v>MAR</v>
      </c>
      <c r="B2796" t="str">
        <f t="shared" si="487"/>
        <v>21</v>
      </c>
      <c r="C2796" t="str">
        <f t="shared" si="490"/>
        <v>2020/21</v>
      </c>
      <c r="D2796" t="str">
        <f t="shared" si="498"/>
        <v>SS SL 114879</v>
      </c>
      <c r="E2796" t="str">
        <f t="shared" si="491"/>
        <v>SS</v>
      </c>
      <c r="F2796" t="s">
        <v>25</v>
      </c>
      <c r="G2796" t="s">
        <v>22</v>
      </c>
      <c r="H2796">
        <v>4210.3999999999996</v>
      </c>
      <c r="I2796" t="str">
        <f t="shared" si="499"/>
        <v>Creative Support Ltd</v>
      </c>
      <c r="J2796" t="str">
        <f t="shared" si="500"/>
        <v>42 Church Lane (Creative Support) Private Contractors Agency And Contracted Services Supported Living Adult Health &amp; Social Care</v>
      </c>
    </row>
    <row r="2797" spans="1:10" x14ac:dyDescent="0.35">
      <c r="A2797" t="str">
        <f t="shared" si="492"/>
        <v>MAR</v>
      </c>
      <c r="B2797" t="str">
        <f t="shared" si="487"/>
        <v>21</v>
      </c>
      <c r="C2797" t="str">
        <f t="shared" si="490"/>
        <v>2020/21</v>
      </c>
      <c r="D2797" t="str">
        <f t="shared" si="498"/>
        <v>SS SL 114879</v>
      </c>
      <c r="E2797" t="str">
        <f t="shared" si="491"/>
        <v>SS</v>
      </c>
      <c r="F2797" t="s">
        <v>25</v>
      </c>
      <c r="G2797" t="s">
        <v>22</v>
      </c>
      <c r="H2797">
        <v>5179.2</v>
      </c>
      <c r="I2797" t="str">
        <f t="shared" si="499"/>
        <v>Creative Support Ltd</v>
      </c>
      <c r="J2797" t="str">
        <f t="shared" si="500"/>
        <v>42 Church Lane (Creative Support) Private Contractors Agency And Contracted Services Supported Living Adult Health &amp; Social Care</v>
      </c>
    </row>
    <row r="2798" spans="1:10" x14ac:dyDescent="0.35">
      <c r="A2798" t="str">
        <f t="shared" si="492"/>
        <v>MAR</v>
      </c>
      <c r="B2798" t="str">
        <f t="shared" si="487"/>
        <v>21</v>
      </c>
      <c r="C2798" t="str">
        <f t="shared" si="490"/>
        <v>2020/21</v>
      </c>
      <c r="D2798" t="str">
        <f t="shared" ref="D2798:D2806" si="501">"SS SL 114891"</f>
        <v>SS SL 114891</v>
      </c>
      <c r="E2798" t="str">
        <f t="shared" si="491"/>
        <v>SS</v>
      </c>
      <c r="F2798" t="s">
        <v>25</v>
      </c>
      <c r="G2798" t="s">
        <v>22</v>
      </c>
      <c r="H2798">
        <v>4150</v>
      </c>
      <c r="I2798" t="str">
        <f t="shared" si="499"/>
        <v>Creative Support Ltd</v>
      </c>
      <c r="J2798" t="str">
        <f t="shared" ref="J2798:J2806" si="502">"Lingroyd Avenue (Creative Support) Private Contractors Agency And Contracted Services Supported Living Adult Health &amp; Social Care"</f>
        <v>Lingroyd Avenue (Creative Support) Private Contractors Agency And Contracted Services Supported Living Adult Health &amp; Social Care</v>
      </c>
    </row>
    <row r="2799" spans="1:10" x14ac:dyDescent="0.35">
      <c r="A2799" t="str">
        <f t="shared" si="492"/>
        <v>MAR</v>
      </c>
      <c r="B2799" t="str">
        <f t="shared" si="487"/>
        <v>21</v>
      </c>
      <c r="C2799" t="str">
        <f t="shared" si="490"/>
        <v>2020/21</v>
      </c>
      <c r="D2799" t="str">
        <f t="shared" si="501"/>
        <v>SS SL 114891</v>
      </c>
      <c r="E2799" t="str">
        <f t="shared" si="491"/>
        <v>SS</v>
      </c>
      <c r="F2799" t="s">
        <v>25</v>
      </c>
      <c r="G2799" t="s">
        <v>22</v>
      </c>
      <c r="H2799">
        <v>5345.2</v>
      </c>
      <c r="I2799" t="str">
        <f t="shared" si="499"/>
        <v>Creative Support Ltd</v>
      </c>
      <c r="J2799" t="str">
        <f t="shared" si="502"/>
        <v>Lingroyd Avenue (Creative Support) Private Contractors Agency And Contracted Services Supported Living Adult Health &amp; Social Care</v>
      </c>
    </row>
    <row r="2800" spans="1:10" x14ac:dyDescent="0.35">
      <c r="A2800" t="str">
        <f t="shared" si="492"/>
        <v>MAR</v>
      </c>
      <c r="B2800" t="str">
        <f t="shared" si="487"/>
        <v>21</v>
      </c>
      <c r="C2800" t="str">
        <f t="shared" si="490"/>
        <v>2020/21</v>
      </c>
      <c r="D2800" t="str">
        <f t="shared" si="501"/>
        <v>SS SL 114891</v>
      </c>
      <c r="E2800" t="str">
        <f t="shared" si="491"/>
        <v>SS</v>
      </c>
      <c r="F2800" t="s">
        <v>25</v>
      </c>
      <c r="G2800" t="s">
        <v>22</v>
      </c>
      <c r="H2800">
        <v>2284.8000000000002</v>
      </c>
      <c r="I2800" t="str">
        <f t="shared" si="499"/>
        <v>Creative Support Ltd</v>
      </c>
      <c r="J2800" t="str">
        <f t="shared" si="502"/>
        <v>Lingroyd Avenue (Creative Support) Private Contractors Agency And Contracted Services Supported Living Adult Health &amp; Social Care</v>
      </c>
    </row>
    <row r="2801" spans="1:10" x14ac:dyDescent="0.35">
      <c r="A2801" t="str">
        <f t="shared" si="492"/>
        <v>MAR</v>
      </c>
      <c r="B2801" t="str">
        <f t="shared" si="487"/>
        <v>21</v>
      </c>
      <c r="C2801" t="str">
        <f t="shared" si="490"/>
        <v>2020/21</v>
      </c>
      <c r="D2801" t="str">
        <f t="shared" si="501"/>
        <v>SS SL 114891</v>
      </c>
      <c r="E2801" t="str">
        <f t="shared" si="491"/>
        <v>SS</v>
      </c>
      <c r="F2801" t="s">
        <v>25</v>
      </c>
      <c r="G2801" t="s">
        <v>22</v>
      </c>
      <c r="H2801">
        <v>4150</v>
      </c>
      <c r="I2801" t="str">
        <f t="shared" si="499"/>
        <v>Creative Support Ltd</v>
      </c>
      <c r="J2801" t="str">
        <f t="shared" si="502"/>
        <v>Lingroyd Avenue (Creative Support) Private Contractors Agency And Contracted Services Supported Living Adult Health &amp; Social Care</v>
      </c>
    </row>
    <row r="2802" spans="1:10" x14ac:dyDescent="0.35">
      <c r="A2802" t="str">
        <f t="shared" si="492"/>
        <v>MAR</v>
      </c>
      <c r="B2802" t="str">
        <f t="shared" si="487"/>
        <v>21</v>
      </c>
      <c r="C2802" t="str">
        <f t="shared" si="490"/>
        <v>2020/21</v>
      </c>
      <c r="D2802" t="str">
        <f t="shared" si="501"/>
        <v>SS SL 114891</v>
      </c>
      <c r="E2802" t="str">
        <f t="shared" si="491"/>
        <v>SS</v>
      </c>
      <c r="F2802" t="s">
        <v>25</v>
      </c>
      <c r="G2802" t="s">
        <v>22</v>
      </c>
      <c r="H2802">
        <v>2284.8000000000002</v>
      </c>
      <c r="I2802" t="str">
        <f t="shared" si="499"/>
        <v>Creative Support Ltd</v>
      </c>
      <c r="J2802" t="str">
        <f t="shared" si="502"/>
        <v>Lingroyd Avenue (Creative Support) Private Contractors Agency And Contracted Services Supported Living Adult Health &amp; Social Care</v>
      </c>
    </row>
    <row r="2803" spans="1:10" x14ac:dyDescent="0.35">
      <c r="A2803" t="str">
        <f t="shared" si="492"/>
        <v>MAR</v>
      </c>
      <c r="B2803" t="str">
        <f t="shared" ref="B2803:B2866" si="503">"21"</f>
        <v>21</v>
      </c>
      <c r="C2803" t="str">
        <f t="shared" si="490"/>
        <v>2020/21</v>
      </c>
      <c r="D2803" t="str">
        <f t="shared" si="501"/>
        <v>SS SL 114891</v>
      </c>
      <c r="E2803" t="str">
        <f t="shared" si="491"/>
        <v>SS</v>
      </c>
      <c r="F2803" t="s">
        <v>25</v>
      </c>
      <c r="G2803" t="s">
        <v>22</v>
      </c>
      <c r="H2803">
        <v>5345.2</v>
      </c>
      <c r="I2803" t="str">
        <f t="shared" si="499"/>
        <v>Creative Support Ltd</v>
      </c>
      <c r="J2803" t="str">
        <f t="shared" si="502"/>
        <v>Lingroyd Avenue (Creative Support) Private Contractors Agency And Contracted Services Supported Living Adult Health &amp; Social Care</v>
      </c>
    </row>
    <row r="2804" spans="1:10" x14ac:dyDescent="0.35">
      <c r="A2804" t="str">
        <f t="shared" si="492"/>
        <v>MAR</v>
      </c>
      <c r="B2804" t="str">
        <f t="shared" si="503"/>
        <v>21</v>
      </c>
      <c r="C2804" t="str">
        <f t="shared" si="490"/>
        <v>2020/21</v>
      </c>
      <c r="D2804" t="str">
        <f t="shared" si="501"/>
        <v>SS SL 114891</v>
      </c>
      <c r="E2804" t="str">
        <f t="shared" si="491"/>
        <v>SS</v>
      </c>
      <c r="F2804" t="s">
        <v>25</v>
      </c>
      <c r="G2804" t="s">
        <v>22</v>
      </c>
      <c r="H2804">
        <v>2284.8000000000002</v>
      </c>
      <c r="I2804" t="str">
        <f t="shared" si="499"/>
        <v>Creative Support Ltd</v>
      </c>
      <c r="J2804" t="str">
        <f t="shared" si="502"/>
        <v>Lingroyd Avenue (Creative Support) Private Contractors Agency And Contracted Services Supported Living Adult Health &amp; Social Care</v>
      </c>
    </row>
    <row r="2805" spans="1:10" x14ac:dyDescent="0.35">
      <c r="A2805" t="str">
        <f t="shared" si="492"/>
        <v>MAR</v>
      </c>
      <c r="B2805" t="str">
        <f t="shared" si="503"/>
        <v>21</v>
      </c>
      <c r="C2805" t="str">
        <f t="shared" si="490"/>
        <v>2020/21</v>
      </c>
      <c r="D2805" t="str">
        <f t="shared" si="501"/>
        <v>SS SL 114891</v>
      </c>
      <c r="E2805" t="str">
        <f t="shared" si="491"/>
        <v>SS</v>
      </c>
      <c r="F2805" t="s">
        <v>25</v>
      </c>
      <c r="G2805" t="s">
        <v>22</v>
      </c>
      <c r="H2805">
        <v>4150</v>
      </c>
      <c r="I2805" t="str">
        <f t="shared" si="499"/>
        <v>Creative Support Ltd</v>
      </c>
      <c r="J2805" t="str">
        <f t="shared" si="502"/>
        <v>Lingroyd Avenue (Creative Support) Private Contractors Agency And Contracted Services Supported Living Adult Health &amp; Social Care</v>
      </c>
    </row>
    <row r="2806" spans="1:10" x14ac:dyDescent="0.35">
      <c r="A2806" t="str">
        <f t="shared" si="492"/>
        <v>MAR</v>
      </c>
      <c r="B2806" t="str">
        <f t="shared" si="503"/>
        <v>21</v>
      </c>
      <c r="C2806" t="str">
        <f t="shared" si="490"/>
        <v>2020/21</v>
      </c>
      <c r="D2806" t="str">
        <f t="shared" si="501"/>
        <v>SS SL 114891</v>
      </c>
      <c r="E2806" t="str">
        <f t="shared" si="491"/>
        <v>SS</v>
      </c>
      <c r="F2806" t="s">
        <v>25</v>
      </c>
      <c r="G2806" t="s">
        <v>22</v>
      </c>
      <c r="H2806">
        <v>5345.2</v>
      </c>
      <c r="I2806" t="str">
        <f t="shared" si="499"/>
        <v>Creative Support Ltd</v>
      </c>
      <c r="J2806" t="str">
        <f t="shared" si="502"/>
        <v>Lingroyd Avenue (Creative Support) Private Contractors Agency And Contracted Services Supported Living Adult Health &amp; Social Care</v>
      </c>
    </row>
    <row r="2807" spans="1:10" x14ac:dyDescent="0.35">
      <c r="A2807" t="str">
        <f t="shared" si="492"/>
        <v>MAR</v>
      </c>
      <c r="B2807" t="str">
        <f t="shared" si="503"/>
        <v>21</v>
      </c>
      <c r="C2807" t="str">
        <f t="shared" si="490"/>
        <v>2020/21</v>
      </c>
      <c r="D2807" t="str">
        <f>"SS SL 114883"</f>
        <v>SS SL 114883</v>
      </c>
      <c r="E2807" t="str">
        <f t="shared" si="491"/>
        <v>SS</v>
      </c>
      <c r="F2807" t="s">
        <v>25</v>
      </c>
      <c r="G2807" t="s">
        <v>22</v>
      </c>
      <c r="H2807">
        <v>16560.8</v>
      </c>
      <c r="I2807" t="str">
        <f t="shared" si="499"/>
        <v>Creative Support Ltd</v>
      </c>
      <c r="J2807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2808" spans="1:10" x14ac:dyDescent="0.35">
      <c r="A2808" t="str">
        <f t="shared" si="492"/>
        <v>MAR</v>
      </c>
      <c r="B2808" t="str">
        <f t="shared" si="503"/>
        <v>21</v>
      </c>
      <c r="C2808" t="str">
        <f t="shared" si="490"/>
        <v>2020/21</v>
      </c>
      <c r="D2808" t="str">
        <f>"SS SL 114883"</f>
        <v>SS SL 114883</v>
      </c>
      <c r="E2808" t="str">
        <f t="shared" si="491"/>
        <v>SS</v>
      </c>
      <c r="F2808" t="s">
        <v>25</v>
      </c>
      <c r="G2808" t="s">
        <v>22</v>
      </c>
      <c r="H2808">
        <v>16394.8</v>
      </c>
      <c r="I2808" t="str">
        <f t="shared" si="499"/>
        <v>Creative Support Ltd</v>
      </c>
      <c r="J2808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2809" spans="1:10" x14ac:dyDescent="0.35">
      <c r="A2809" t="str">
        <f t="shared" si="492"/>
        <v>MAR</v>
      </c>
      <c r="B2809" t="str">
        <f t="shared" si="503"/>
        <v>21</v>
      </c>
      <c r="C2809" t="str">
        <f t="shared" si="490"/>
        <v>2020/21</v>
      </c>
      <c r="D2809" t="str">
        <f>"SS SL 114883"</f>
        <v>SS SL 114883</v>
      </c>
      <c r="E2809" t="str">
        <f t="shared" si="491"/>
        <v>SS</v>
      </c>
      <c r="F2809" t="s">
        <v>25</v>
      </c>
      <c r="G2809" t="s">
        <v>22</v>
      </c>
      <c r="H2809">
        <v>18552.8</v>
      </c>
      <c r="I2809" t="str">
        <f t="shared" si="499"/>
        <v>Creative Support Ltd</v>
      </c>
      <c r="J2809" t="str">
        <f>"Beech House (Creative Support) Private Contractors Agency And Contracted Services Supported Living Adult Health &amp; Social Care"</f>
        <v>Beech House (Creative Support) Private Contractors Agency And Contracted Services Supported Living Adult Health &amp; Social Care</v>
      </c>
    </row>
    <row r="2810" spans="1:10" x14ac:dyDescent="0.35">
      <c r="A2810" t="str">
        <f t="shared" si="492"/>
        <v>MAR</v>
      </c>
      <c r="B2810" t="str">
        <f t="shared" si="503"/>
        <v>21</v>
      </c>
      <c r="C2810" t="str">
        <f t="shared" si="490"/>
        <v>2020/21</v>
      </c>
      <c r="D2810" t="str">
        <f t="shared" ref="D2810:D2827" si="504">"SS SL 114882"</f>
        <v>SS SL 114882</v>
      </c>
      <c r="E2810" t="str">
        <f t="shared" si="491"/>
        <v>SS</v>
      </c>
      <c r="F2810" t="s">
        <v>25</v>
      </c>
      <c r="G2810" t="s">
        <v>22</v>
      </c>
      <c r="H2810">
        <v>2284.8000000000002</v>
      </c>
      <c r="I2810" t="str">
        <f t="shared" si="499"/>
        <v>Creative Support Ltd</v>
      </c>
      <c r="J2810" t="str">
        <f t="shared" ref="J2810:J2827" si="505">"Railway Terrace (Creative Support) Private Contractors Agency And Contracted Services Supported Living Adult Health &amp; Social Care"</f>
        <v>Railway Terrace (Creative Support) Private Contractors Agency And Contracted Services Supported Living Adult Health &amp; Social Care</v>
      </c>
    </row>
    <row r="2811" spans="1:10" x14ac:dyDescent="0.35">
      <c r="A2811" t="str">
        <f t="shared" si="492"/>
        <v>MAR</v>
      </c>
      <c r="B2811" t="str">
        <f t="shared" si="503"/>
        <v>21</v>
      </c>
      <c r="C2811" t="str">
        <f t="shared" si="490"/>
        <v>2020/21</v>
      </c>
      <c r="D2811" t="str">
        <f t="shared" si="504"/>
        <v>SS SL 114882</v>
      </c>
      <c r="E2811" t="str">
        <f t="shared" si="491"/>
        <v>SS</v>
      </c>
      <c r="F2811" t="s">
        <v>25</v>
      </c>
      <c r="G2811" t="s">
        <v>22</v>
      </c>
      <c r="H2811">
        <v>2158</v>
      </c>
      <c r="I2811" t="str">
        <f t="shared" si="499"/>
        <v>Creative Support Ltd</v>
      </c>
      <c r="J2811" t="str">
        <f t="shared" si="505"/>
        <v>Railway Terrace (Creative Support) Private Contractors Agency And Contracted Services Supported Living Adult Health &amp; Social Care</v>
      </c>
    </row>
    <row r="2812" spans="1:10" x14ac:dyDescent="0.35">
      <c r="A2812" t="str">
        <f t="shared" si="492"/>
        <v>MAR</v>
      </c>
      <c r="B2812" t="str">
        <f t="shared" si="503"/>
        <v>21</v>
      </c>
      <c r="C2812" t="str">
        <f t="shared" si="490"/>
        <v>2020/21</v>
      </c>
      <c r="D2812" t="str">
        <f t="shared" si="504"/>
        <v>SS SL 114882</v>
      </c>
      <c r="E2812" t="str">
        <f t="shared" si="491"/>
        <v>SS</v>
      </c>
      <c r="F2812" t="s">
        <v>25</v>
      </c>
      <c r="G2812" t="s">
        <v>22</v>
      </c>
      <c r="H2812">
        <v>2158</v>
      </c>
      <c r="I2812" t="str">
        <f t="shared" si="499"/>
        <v>Creative Support Ltd</v>
      </c>
      <c r="J2812" t="str">
        <f t="shared" si="505"/>
        <v>Railway Terrace (Creative Support) Private Contractors Agency And Contracted Services Supported Living Adult Health &amp; Social Care</v>
      </c>
    </row>
    <row r="2813" spans="1:10" x14ac:dyDescent="0.35">
      <c r="A2813" t="str">
        <f t="shared" si="492"/>
        <v>MAR</v>
      </c>
      <c r="B2813" t="str">
        <f t="shared" si="503"/>
        <v>21</v>
      </c>
      <c r="C2813" t="str">
        <f t="shared" si="490"/>
        <v>2020/21</v>
      </c>
      <c r="D2813" t="str">
        <f t="shared" si="504"/>
        <v>SS SL 114882</v>
      </c>
      <c r="E2813" t="str">
        <f t="shared" si="491"/>
        <v>SS</v>
      </c>
      <c r="F2813" t="s">
        <v>25</v>
      </c>
      <c r="G2813" t="s">
        <v>22</v>
      </c>
      <c r="H2813">
        <v>1626.8</v>
      </c>
      <c r="I2813" t="str">
        <f t="shared" si="499"/>
        <v>Creative Support Ltd</v>
      </c>
      <c r="J2813" t="str">
        <f t="shared" si="505"/>
        <v>Railway Terrace (Creative Support) Private Contractors Agency And Contracted Services Supported Living Adult Health &amp; Social Care</v>
      </c>
    </row>
    <row r="2814" spans="1:10" x14ac:dyDescent="0.35">
      <c r="A2814" t="str">
        <f t="shared" si="492"/>
        <v>MAR</v>
      </c>
      <c r="B2814" t="str">
        <f t="shared" si="503"/>
        <v>21</v>
      </c>
      <c r="C2814" t="str">
        <f t="shared" si="490"/>
        <v>2020/21</v>
      </c>
      <c r="D2814" t="str">
        <f t="shared" si="504"/>
        <v>SS SL 114882</v>
      </c>
      <c r="E2814" t="str">
        <f t="shared" si="491"/>
        <v>SS</v>
      </c>
      <c r="F2814" t="s">
        <v>25</v>
      </c>
      <c r="G2814" t="s">
        <v>22</v>
      </c>
      <c r="H2814">
        <v>2490</v>
      </c>
      <c r="I2814" t="str">
        <f t="shared" si="499"/>
        <v>Creative Support Ltd</v>
      </c>
      <c r="J2814" t="str">
        <f t="shared" si="505"/>
        <v>Railway Terrace (Creative Support) Private Contractors Agency And Contracted Services Supported Living Adult Health &amp; Social Care</v>
      </c>
    </row>
    <row r="2815" spans="1:10" x14ac:dyDescent="0.35">
      <c r="A2815" t="str">
        <f t="shared" si="492"/>
        <v>MAR</v>
      </c>
      <c r="B2815" t="str">
        <f t="shared" si="503"/>
        <v>21</v>
      </c>
      <c r="C2815" t="str">
        <f t="shared" si="490"/>
        <v>2020/21</v>
      </c>
      <c r="D2815" t="str">
        <f t="shared" si="504"/>
        <v>SS SL 114882</v>
      </c>
      <c r="E2815" t="str">
        <f t="shared" si="491"/>
        <v>SS</v>
      </c>
      <c r="F2815" t="s">
        <v>25</v>
      </c>
      <c r="G2815" t="s">
        <v>22</v>
      </c>
      <c r="H2815">
        <v>2357.1999999999998</v>
      </c>
      <c r="I2815" t="str">
        <f t="shared" si="499"/>
        <v>Creative Support Ltd</v>
      </c>
      <c r="J2815" t="str">
        <f t="shared" si="505"/>
        <v>Railway Terrace (Creative Support) Private Contractors Agency And Contracted Services Supported Living Adult Health &amp; Social Care</v>
      </c>
    </row>
    <row r="2816" spans="1:10" x14ac:dyDescent="0.35">
      <c r="A2816" t="str">
        <f t="shared" si="492"/>
        <v>MAR</v>
      </c>
      <c r="B2816" t="str">
        <f t="shared" si="503"/>
        <v>21</v>
      </c>
      <c r="C2816" t="str">
        <f t="shared" si="490"/>
        <v>2020/21</v>
      </c>
      <c r="D2816" t="str">
        <f t="shared" si="504"/>
        <v>SS SL 114882</v>
      </c>
      <c r="E2816" t="str">
        <f t="shared" si="491"/>
        <v>SS</v>
      </c>
      <c r="F2816" t="s">
        <v>25</v>
      </c>
      <c r="G2816" t="s">
        <v>22</v>
      </c>
      <c r="H2816">
        <v>2158</v>
      </c>
      <c r="I2816" t="str">
        <f t="shared" si="499"/>
        <v>Creative Support Ltd</v>
      </c>
      <c r="J2816" t="str">
        <f t="shared" si="505"/>
        <v>Railway Terrace (Creative Support) Private Contractors Agency And Contracted Services Supported Living Adult Health &amp; Social Care</v>
      </c>
    </row>
    <row r="2817" spans="1:10" x14ac:dyDescent="0.35">
      <c r="A2817" t="str">
        <f t="shared" si="492"/>
        <v>MAR</v>
      </c>
      <c r="B2817" t="str">
        <f t="shared" si="503"/>
        <v>21</v>
      </c>
      <c r="C2817" t="str">
        <f t="shared" si="490"/>
        <v>2020/21</v>
      </c>
      <c r="D2817" t="str">
        <f t="shared" si="504"/>
        <v>SS SL 114882</v>
      </c>
      <c r="E2817" t="str">
        <f t="shared" si="491"/>
        <v>SS</v>
      </c>
      <c r="F2817" t="s">
        <v>25</v>
      </c>
      <c r="G2817" t="s">
        <v>22</v>
      </c>
      <c r="H2817">
        <v>2284.8000000000002</v>
      </c>
      <c r="I2817" t="str">
        <f t="shared" si="499"/>
        <v>Creative Support Ltd</v>
      </c>
      <c r="J2817" t="str">
        <f t="shared" si="505"/>
        <v>Railway Terrace (Creative Support) Private Contractors Agency And Contracted Services Supported Living Adult Health &amp; Social Care</v>
      </c>
    </row>
    <row r="2818" spans="1:10" x14ac:dyDescent="0.35">
      <c r="A2818" t="str">
        <f t="shared" si="492"/>
        <v>MAR</v>
      </c>
      <c r="B2818" t="str">
        <f t="shared" si="503"/>
        <v>21</v>
      </c>
      <c r="C2818" t="str">
        <f t="shared" ref="C2818:C2881" si="506">"2020/21"</f>
        <v>2020/21</v>
      </c>
      <c r="D2818" t="str">
        <f t="shared" si="504"/>
        <v>SS SL 114882</v>
      </c>
      <c r="E2818" t="str">
        <f t="shared" ref="E2818:E2881" si="507">LEFT(D2818,2)</f>
        <v>SS</v>
      </c>
      <c r="F2818" t="s">
        <v>25</v>
      </c>
      <c r="G2818" t="s">
        <v>22</v>
      </c>
      <c r="H2818">
        <v>2158</v>
      </c>
      <c r="I2818" t="str">
        <f t="shared" ref="I2818:I2849" si="508">"Creative Support Ltd"</f>
        <v>Creative Support Ltd</v>
      </c>
      <c r="J2818" t="str">
        <f t="shared" si="505"/>
        <v>Railway Terrace (Creative Support) Private Contractors Agency And Contracted Services Supported Living Adult Health &amp; Social Care</v>
      </c>
    </row>
    <row r="2819" spans="1:10" x14ac:dyDescent="0.35">
      <c r="A2819" t="str">
        <f t="shared" si="492"/>
        <v>MAR</v>
      </c>
      <c r="B2819" t="str">
        <f t="shared" si="503"/>
        <v>21</v>
      </c>
      <c r="C2819" t="str">
        <f t="shared" si="506"/>
        <v>2020/21</v>
      </c>
      <c r="D2819" t="str">
        <f t="shared" si="504"/>
        <v>SS SL 114882</v>
      </c>
      <c r="E2819" t="str">
        <f t="shared" si="507"/>
        <v>SS</v>
      </c>
      <c r="F2819" t="s">
        <v>25</v>
      </c>
      <c r="G2819" t="s">
        <v>22</v>
      </c>
      <c r="H2819">
        <v>1626.8</v>
      </c>
      <c r="I2819" t="str">
        <f t="shared" si="508"/>
        <v>Creative Support Ltd</v>
      </c>
      <c r="J2819" t="str">
        <f t="shared" si="505"/>
        <v>Railway Terrace (Creative Support) Private Contractors Agency And Contracted Services Supported Living Adult Health &amp; Social Care</v>
      </c>
    </row>
    <row r="2820" spans="1:10" x14ac:dyDescent="0.35">
      <c r="A2820" t="str">
        <f t="shared" si="492"/>
        <v>MAR</v>
      </c>
      <c r="B2820" t="str">
        <f t="shared" si="503"/>
        <v>21</v>
      </c>
      <c r="C2820" t="str">
        <f t="shared" si="506"/>
        <v>2020/21</v>
      </c>
      <c r="D2820" t="str">
        <f t="shared" si="504"/>
        <v>SS SL 114882</v>
      </c>
      <c r="E2820" t="str">
        <f t="shared" si="507"/>
        <v>SS</v>
      </c>
      <c r="F2820" t="s">
        <v>25</v>
      </c>
      <c r="G2820" t="s">
        <v>22</v>
      </c>
      <c r="H2820">
        <v>2357.1999999999998</v>
      </c>
      <c r="I2820" t="str">
        <f t="shared" si="508"/>
        <v>Creative Support Ltd</v>
      </c>
      <c r="J2820" t="str">
        <f t="shared" si="505"/>
        <v>Railway Terrace (Creative Support) Private Contractors Agency And Contracted Services Supported Living Adult Health &amp; Social Care</v>
      </c>
    </row>
    <row r="2821" spans="1:10" x14ac:dyDescent="0.35">
      <c r="A2821" t="str">
        <f t="shared" si="492"/>
        <v>MAR</v>
      </c>
      <c r="B2821" t="str">
        <f t="shared" si="503"/>
        <v>21</v>
      </c>
      <c r="C2821" t="str">
        <f t="shared" si="506"/>
        <v>2020/21</v>
      </c>
      <c r="D2821" t="str">
        <f t="shared" si="504"/>
        <v>SS SL 114882</v>
      </c>
      <c r="E2821" t="str">
        <f t="shared" si="507"/>
        <v>SS</v>
      </c>
      <c r="F2821" t="s">
        <v>25</v>
      </c>
      <c r="G2821" t="s">
        <v>22</v>
      </c>
      <c r="H2821">
        <v>2490</v>
      </c>
      <c r="I2821" t="str">
        <f t="shared" si="508"/>
        <v>Creative Support Ltd</v>
      </c>
      <c r="J2821" t="str">
        <f t="shared" si="505"/>
        <v>Railway Terrace (Creative Support) Private Contractors Agency And Contracted Services Supported Living Adult Health &amp; Social Care</v>
      </c>
    </row>
    <row r="2822" spans="1:10" x14ac:dyDescent="0.35">
      <c r="A2822" t="str">
        <f t="shared" si="492"/>
        <v>MAR</v>
      </c>
      <c r="B2822" t="str">
        <f t="shared" si="503"/>
        <v>21</v>
      </c>
      <c r="C2822" t="str">
        <f t="shared" si="506"/>
        <v>2020/21</v>
      </c>
      <c r="D2822" t="str">
        <f t="shared" si="504"/>
        <v>SS SL 114882</v>
      </c>
      <c r="E2822" t="str">
        <f t="shared" si="507"/>
        <v>SS</v>
      </c>
      <c r="F2822" t="s">
        <v>25</v>
      </c>
      <c r="G2822" t="s">
        <v>22</v>
      </c>
      <c r="H2822">
        <v>2490</v>
      </c>
      <c r="I2822" t="str">
        <f t="shared" si="508"/>
        <v>Creative Support Ltd</v>
      </c>
      <c r="J2822" t="str">
        <f t="shared" si="505"/>
        <v>Railway Terrace (Creative Support) Private Contractors Agency And Contracted Services Supported Living Adult Health &amp; Social Care</v>
      </c>
    </row>
    <row r="2823" spans="1:10" x14ac:dyDescent="0.35">
      <c r="A2823" t="str">
        <f t="shared" si="492"/>
        <v>MAR</v>
      </c>
      <c r="B2823" t="str">
        <f t="shared" si="503"/>
        <v>21</v>
      </c>
      <c r="C2823" t="str">
        <f t="shared" si="506"/>
        <v>2020/21</v>
      </c>
      <c r="D2823" t="str">
        <f t="shared" si="504"/>
        <v>SS SL 114882</v>
      </c>
      <c r="E2823" t="str">
        <f t="shared" si="507"/>
        <v>SS</v>
      </c>
      <c r="F2823" t="s">
        <v>25</v>
      </c>
      <c r="G2823" t="s">
        <v>22</v>
      </c>
      <c r="H2823">
        <v>2158</v>
      </c>
      <c r="I2823" t="str">
        <f t="shared" si="508"/>
        <v>Creative Support Ltd</v>
      </c>
      <c r="J2823" t="str">
        <f t="shared" si="505"/>
        <v>Railway Terrace (Creative Support) Private Contractors Agency And Contracted Services Supported Living Adult Health &amp; Social Care</v>
      </c>
    </row>
    <row r="2824" spans="1:10" x14ac:dyDescent="0.35">
      <c r="A2824" t="str">
        <f t="shared" si="492"/>
        <v>MAR</v>
      </c>
      <c r="B2824" t="str">
        <f t="shared" si="503"/>
        <v>21</v>
      </c>
      <c r="C2824" t="str">
        <f t="shared" si="506"/>
        <v>2020/21</v>
      </c>
      <c r="D2824" t="str">
        <f t="shared" si="504"/>
        <v>SS SL 114882</v>
      </c>
      <c r="E2824" t="str">
        <f t="shared" si="507"/>
        <v>SS</v>
      </c>
      <c r="F2824" t="s">
        <v>25</v>
      </c>
      <c r="G2824" t="s">
        <v>22</v>
      </c>
      <c r="H2824">
        <v>2284.8000000000002</v>
      </c>
      <c r="I2824" t="str">
        <f t="shared" si="508"/>
        <v>Creative Support Ltd</v>
      </c>
      <c r="J2824" t="str">
        <f t="shared" si="505"/>
        <v>Railway Terrace (Creative Support) Private Contractors Agency And Contracted Services Supported Living Adult Health &amp; Social Care</v>
      </c>
    </row>
    <row r="2825" spans="1:10" x14ac:dyDescent="0.35">
      <c r="A2825" t="str">
        <f t="shared" si="492"/>
        <v>MAR</v>
      </c>
      <c r="B2825" t="str">
        <f t="shared" si="503"/>
        <v>21</v>
      </c>
      <c r="C2825" t="str">
        <f t="shared" si="506"/>
        <v>2020/21</v>
      </c>
      <c r="D2825" t="str">
        <f t="shared" si="504"/>
        <v>SS SL 114882</v>
      </c>
      <c r="E2825" t="str">
        <f t="shared" si="507"/>
        <v>SS</v>
      </c>
      <c r="F2825" t="s">
        <v>25</v>
      </c>
      <c r="G2825" t="s">
        <v>22</v>
      </c>
      <c r="H2825">
        <v>2357.1999999999998</v>
      </c>
      <c r="I2825" t="str">
        <f t="shared" si="508"/>
        <v>Creative Support Ltd</v>
      </c>
      <c r="J2825" t="str">
        <f t="shared" si="505"/>
        <v>Railway Terrace (Creative Support) Private Contractors Agency And Contracted Services Supported Living Adult Health &amp; Social Care</v>
      </c>
    </row>
    <row r="2826" spans="1:10" x14ac:dyDescent="0.35">
      <c r="A2826" t="str">
        <f t="shared" ref="A2826:A2889" si="509">"MAR"</f>
        <v>MAR</v>
      </c>
      <c r="B2826" t="str">
        <f t="shared" si="503"/>
        <v>21</v>
      </c>
      <c r="C2826" t="str">
        <f t="shared" si="506"/>
        <v>2020/21</v>
      </c>
      <c r="D2826" t="str">
        <f t="shared" si="504"/>
        <v>SS SL 114882</v>
      </c>
      <c r="E2826" t="str">
        <f t="shared" si="507"/>
        <v>SS</v>
      </c>
      <c r="F2826" t="s">
        <v>25</v>
      </c>
      <c r="G2826" t="s">
        <v>22</v>
      </c>
      <c r="H2826">
        <v>1626.8</v>
      </c>
      <c r="I2826" t="str">
        <f t="shared" si="508"/>
        <v>Creative Support Ltd</v>
      </c>
      <c r="J2826" t="str">
        <f t="shared" si="505"/>
        <v>Railway Terrace (Creative Support) Private Contractors Agency And Contracted Services Supported Living Adult Health &amp; Social Care</v>
      </c>
    </row>
    <row r="2827" spans="1:10" x14ac:dyDescent="0.35">
      <c r="A2827" t="str">
        <f t="shared" si="509"/>
        <v>MAR</v>
      </c>
      <c r="B2827" t="str">
        <f t="shared" si="503"/>
        <v>21</v>
      </c>
      <c r="C2827" t="str">
        <f t="shared" si="506"/>
        <v>2020/21</v>
      </c>
      <c r="D2827" t="str">
        <f t="shared" si="504"/>
        <v>SS SL 114882</v>
      </c>
      <c r="E2827" t="str">
        <f t="shared" si="507"/>
        <v>SS</v>
      </c>
      <c r="F2827" t="s">
        <v>25</v>
      </c>
      <c r="G2827" t="s">
        <v>22</v>
      </c>
      <c r="H2827">
        <v>2158</v>
      </c>
      <c r="I2827" t="str">
        <f t="shared" si="508"/>
        <v>Creative Support Ltd</v>
      </c>
      <c r="J2827" t="str">
        <f t="shared" si="505"/>
        <v>Railway Terrace (Creative Support) Private Contractors Agency And Contracted Services Supported Living Adult Health &amp; Social Care</v>
      </c>
    </row>
    <row r="2828" spans="1:10" x14ac:dyDescent="0.35">
      <c r="A2828" t="str">
        <f t="shared" si="509"/>
        <v>MAR</v>
      </c>
      <c r="B2828" t="str">
        <f t="shared" si="503"/>
        <v>21</v>
      </c>
      <c r="C2828" t="str">
        <f t="shared" si="506"/>
        <v>2020/21</v>
      </c>
      <c r="D2828" t="str">
        <f t="shared" ref="D2828:D2843" si="510">"SS SL 114884"</f>
        <v>SS SL 114884</v>
      </c>
      <c r="E2828" t="str">
        <f t="shared" si="507"/>
        <v>SS</v>
      </c>
      <c r="F2828" t="s">
        <v>25</v>
      </c>
      <c r="G2828" t="s">
        <v>22</v>
      </c>
      <c r="H2828">
        <v>3452.8</v>
      </c>
      <c r="I2828" t="str">
        <f t="shared" si="508"/>
        <v>Creative Support Ltd</v>
      </c>
      <c r="J2828" t="str">
        <f t="shared" ref="J2828:J2843" si="511">"Calder Grove (Creative Support) Private Contractors Agency And Contracted Services Supported Living Adult Health &amp; Social Care"</f>
        <v>Calder Grove (Creative Support) Private Contractors Agency And Contracted Services Supported Living Adult Health &amp; Social Care</v>
      </c>
    </row>
    <row r="2829" spans="1:10" x14ac:dyDescent="0.35">
      <c r="A2829" t="str">
        <f t="shared" si="509"/>
        <v>MAR</v>
      </c>
      <c r="B2829" t="str">
        <f t="shared" si="503"/>
        <v>21</v>
      </c>
      <c r="C2829" t="str">
        <f t="shared" si="506"/>
        <v>2020/21</v>
      </c>
      <c r="D2829" t="str">
        <f t="shared" si="510"/>
        <v>SS SL 114884</v>
      </c>
      <c r="E2829" t="str">
        <f t="shared" si="507"/>
        <v>SS</v>
      </c>
      <c r="F2829" t="s">
        <v>25</v>
      </c>
      <c r="G2829" t="s">
        <v>22</v>
      </c>
      <c r="H2829">
        <v>2284.8000000000002</v>
      </c>
      <c r="I2829" t="str">
        <f t="shared" si="508"/>
        <v>Creative Support Ltd</v>
      </c>
      <c r="J2829" t="str">
        <f t="shared" si="511"/>
        <v>Calder Grove (Creative Support) Private Contractors Agency And Contracted Services Supported Living Adult Health &amp; Social Care</v>
      </c>
    </row>
    <row r="2830" spans="1:10" x14ac:dyDescent="0.35">
      <c r="A2830" t="str">
        <f t="shared" si="509"/>
        <v>MAR</v>
      </c>
      <c r="B2830" t="str">
        <f t="shared" si="503"/>
        <v>21</v>
      </c>
      <c r="C2830" t="str">
        <f t="shared" si="506"/>
        <v>2020/21</v>
      </c>
      <c r="D2830" t="str">
        <f t="shared" si="510"/>
        <v>SS SL 114884</v>
      </c>
      <c r="E2830" t="str">
        <f t="shared" si="507"/>
        <v>SS</v>
      </c>
      <c r="F2830" t="s">
        <v>25</v>
      </c>
      <c r="G2830" t="s">
        <v>22</v>
      </c>
      <c r="H2830">
        <v>8100.8</v>
      </c>
      <c r="I2830" t="str">
        <f t="shared" si="508"/>
        <v>Creative Support Ltd</v>
      </c>
      <c r="J2830" t="str">
        <f t="shared" si="511"/>
        <v>Calder Grove (Creative Support) Private Contractors Agency And Contracted Services Supported Living Adult Health &amp; Social Care</v>
      </c>
    </row>
    <row r="2831" spans="1:10" x14ac:dyDescent="0.35">
      <c r="A2831" t="str">
        <f t="shared" si="509"/>
        <v>MAR</v>
      </c>
      <c r="B2831" t="str">
        <f t="shared" si="503"/>
        <v>21</v>
      </c>
      <c r="C2831" t="str">
        <f t="shared" si="506"/>
        <v>2020/21</v>
      </c>
      <c r="D2831" t="str">
        <f t="shared" si="510"/>
        <v>SS SL 114884</v>
      </c>
      <c r="E2831" t="str">
        <f t="shared" si="507"/>
        <v>SS</v>
      </c>
      <c r="F2831" t="s">
        <v>25</v>
      </c>
      <c r="G2831" t="s">
        <v>22</v>
      </c>
      <c r="H2831">
        <v>3452.8</v>
      </c>
      <c r="I2831" t="str">
        <f t="shared" si="508"/>
        <v>Creative Support Ltd</v>
      </c>
      <c r="J2831" t="str">
        <f t="shared" si="511"/>
        <v>Calder Grove (Creative Support) Private Contractors Agency And Contracted Services Supported Living Adult Health &amp; Social Care</v>
      </c>
    </row>
    <row r="2832" spans="1:10" x14ac:dyDescent="0.35">
      <c r="A2832" t="str">
        <f t="shared" si="509"/>
        <v>MAR</v>
      </c>
      <c r="B2832" t="str">
        <f t="shared" si="503"/>
        <v>21</v>
      </c>
      <c r="C2832" t="str">
        <f t="shared" si="506"/>
        <v>2020/21</v>
      </c>
      <c r="D2832" t="str">
        <f t="shared" si="510"/>
        <v>SS SL 114884</v>
      </c>
      <c r="E2832" t="str">
        <f t="shared" si="507"/>
        <v>SS</v>
      </c>
      <c r="F2832" t="s">
        <v>25</v>
      </c>
      <c r="G2832" t="s">
        <v>22</v>
      </c>
      <c r="H2832">
        <v>8100.8</v>
      </c>
      <c r="I2832" t="str">
        <f t="shared" si="508"/>
        <v>Creative Support Ltd</v>
      </c>
      <c r="J2832" t="str">
        <f t="shared" si="511"/>
        <v>Calder Grove (Creative Support) Private Contractors Agency And Contracted Services Supported Living Adult Health &amp; Social Care</v>
      </c>
    </row>
    <row r="2833" spans="1:10" x14ac:dyDescent="0.35">
      <c r="A2833" t="str">
        <f t="shared" si="509"/>
        <v>MAR</v>
      </c>
      <c r="B2833" t="str">
        <f t="shared" si="503"/>
        <v>21</v>
      </c>
      <c r="C2833" t="str">
        <f t="shared" si="506"/>
        <v>2020/21</v>
      </c>
      <c r="D2833" t="str">
        <f t="shared" si="510"/>
        <v>SS SL 114884</v>
      </c>
      <c r="E2833" t="str">
        <f t="shared" si="507"/>
        <v>SS</v>
      </c>
      <c r="F2833" t="s">
        <v>25</v>
      </c>
      <c r="G2833" t="s">
        <v>22</v>
      </c>
      <c r="H2833">
        <v>3452.8</v>
      </c>
      <c r="I2833" t="str">
        <f t="shared" si="508"/>
        <v>Creative Support Ltd</v>
      </c>
      <c r="J2833" t="str">
        <f t="shared" si="511"/>
        <v>Calder Grove (Creative Support) Private Contractors Agency And Contracted Services Supported Living Adult Health &amp; Social Care</v>
      </c>
    </row>
    <row r="2834" spans="1:10" x14ac:dyDescent="0.35">
      <c r="A2834" t="str">
        <f t="shared" si="509"/>
        <v>MAR</v>
      </c>
      <c r="B2834" t="str">
        <f t="shared" si="503"/>
        <v>21</v>
      </c>
      <c r="C2834" t="str">
        <f t="shared" si="506"/>
        <v>2020/21</v>
      </c>
      <c r="D2834" t="str">
        <f t="shared" si="510"/>
        <v>SS SL 114884</v>
      </c>
      <c r="E2834" t="str">
        <f t="shared" si="507"/>
        <v>SS</v>
      </c>
      <c r="F2834" t="s">
        <v>25</v>
      </c>
      <c r="G2834" t="s">
        <v>22</v>
      </c>
      <c r="H2834">
        <v>3452.8</v>
      </c>
      <c r="I2834" t="str">
        <f t="shared" si="508"/>
        <v>Creative Support Ltd</v>
      </c>
      <c r="J2834" t="str">
        <f t="shared" si="511"/>
        <v>Calder Grove (Creative Support) Private Contractors Agency And Contracted Services Supported Living Adult Health &amp; Social Care</v>
      </c>
    </row>
    <row r="2835" spans="1:10" x14ac:dyDescent="0.35">
      <c r="A2835" t="str">
        <f t="shared" si="509"/>
        <v>MAR</v>
      </c>
      <c r="B2835" t="str">
        <f t="shared" si="503"/>
        <v>21</v>
      </c>
      <c r="C2835" t="str">
        <f t="shared" si="506"/>
        <v>2020/21</v>
      </c>
      <c r="D2835" t="str">
        <f t="shared" si="510"/>
        <v>SS SL 114884</v>
      </c>
      <c r="E2835" t="str">
        <f t="shared" si="507"/>
        <v>SS</v>
      </c>
      <c r="F2835" t="s">
        <v>25</v>
      </c>
      <c r="G2835" t="s">
        <v>22</v>
      </c>
      <c r="H2835">
        <v>2284.8000000000002</v>
      </c>
      <c r="I2835" t="str">
        <f t="shared" si="508"/>
        <v>Creative Support Ltd</v>
      </c>
      <c r="J2835" t="str">
        <f t="shared" si="511"/>
        <v>Calder Grove (Creative Support) Private Contractors Agency And Contracted Services Supported Living Adult Health &amp; Social Care</v>
      </c>
    </row>
    <row r="2836" spans="1:10" x14ac:dyDescent="0.35">
      <c r="A2836" t="str">
        <f t="shared" si="509"/>
        <v>MAR</v>
      </c>
      <c r="B2836" t="str">
        <f t="shared" si="503"/>
        <v>21</v>
      </c>
      <c r="C2836" t="str">
        <f t="shared" si="506"/>
        <v>2020/21</v>
      </c>
      <c r="D2836" t="str">
        <f t="shared" si="510"/>
        <v>SS SL 114884</v>
      </c>
      <c r="E2836" t="str">
        <f t="shared" si="507"/>
        <v>SS</v>
      </c>
      <c r="F2836" t="s">
        <v>25</v>
      </c>
      <c r="G2836" t="s">
        <v>22</v>
      </c>
      <c r="H2836">
        <v>3452.8</v>
      </c>
      <c r="I2836" t="str">
        <f t="shared" si="508"/>
        <v>Creative Support Ltd</v>
      </c>
      <c r="J2836" t="str">
        <f t="shared" si="511"/>
        <v>Calder Grove (Creative Support) Private Contractors Agency And Contracted Services Supported Living Adult Health &amp; Social Care</v>
      </c>
    </row>
    <row r="2837" spans="1:10" x14ac:dyDescent="0.35">
      <c r="A2837" t="str">
        <f t="shared" si="509"/>
        <v>MAR</v>
      </c>
      <c r="B2837" t="str">
        <f t="shared" si="503"/>
        <v>21</v>
      </c>
      <c r="C2837" t="str">
        <f t="shared" si="506"/>
        <v>2020/21</v>
      </c>
      <c r="D2837" t="str">
        <f t="shared" si="510"/>
        <v>SS SL 114884</v>
      </c>
      <c r="E2837" t="str">
        <f t="shared" si="507"/>
        <v>SS</v>
      </c>
      <c r="F2837" t="s">
        <v>25</v>
      </c>
      <c r="G2837" t="s">
        <v>22</v>
      </c>
      <c r="H2837">
        <v>8100.8</v>
      </c>
      <c r="I2837" t="str">
        <f t="shared" si="508"/>
        <v>Creative Support Ltd</v>
      </c>
      <c r="J2837" t="str">
        <f t="shared" si="511"/>
        <v>Calder Grove (Creative Support) Private Contractors Agency And Contracted Services Supported Living Adult Health &amp; Social Care</v>
      </c>
    </row>
    <row r="2838" spans="1:10" x14ac:dyDescent="0.35">
      <c r="A2838" t="str">
        <f t="shared" si="509"/>
        <v>MAR</v>
      </c>
      <c r="B2838" t="str">
        <f t="shared" si="503"/>
        <v>21</v>
      </c>
      <c r="C2838" t="str">
        <f t="shared" si="506"/>
        <v>2020/21</v>
      </c>
      <c r="D2838" t="str">
        <f t="shared" si="510"/>
        <v>SS SL 114884</v>
      </c>
      <c r="E2838" t="str">
        <f t="shared" si="507"/>
        <v>SS</v>
      </c>
      <c r="F2838" t="s">
        <v>25</v>
      </c>
      <c r="G2838" t="s">
        <v>22</v>
      </c>
      <c r="H2838">
        <v>2284.8000000000002</v>
      </c>
      <c r="I2838" t="str">
        <f t="shared" si="508"/>
        <v>Creative Support Ltd</v>
      </c>
      <c r="J2838" t="str">
        <f t="shared" si="511"/>
        <v>Calder Grove (Creative Support) Private Contractors Agency And Contracted Services Supported Living Adult Health &amp; Social Care</v>
      </c>
    </row>
    <row r="2839" spans="1:10" x14ac:dyDescent="0.35">
      <c r="A2839" t="str">
        <f t="shared" si="509"/>
        <v>MAR</v>
      </c>
      <c r="B2839" t="str">
        <f t="shared" si="503"/>
        <v>21</v>
      </c>
      <c r="C2839" t="str">
        <f t="shared" si="506"/>
        <v>2020/21</v>
      </c>
      <c r="D2839" t="str">
        <f t="shared" si="510"/>
        <v>SS SL 114884</v>
      </c>
      <c r="E2839" t="str">
        <f t="shared" si="507"/>
        <v>SS</v>
      </c>
      <c r="F2839" t="s">
        <v>25</v>
      </c>
      <c r="G2839" t="s">
        <v>22</v>
      </c>
      <c r="H2839">
        <v>3452.8</v>
      </c>
      <c r="I2839" t="str">
        <f t="shared" si="508"/>
        <v>Creative Support Ltd</v>
      </c>
      <c r="J2839" t="str">
        <f t="shared" si="511"/>
        <v>Calder Grove (Creative Support) Private Contractors Agency And Contracted Services Supported Living Adult Health &amp; Social Care</v>
      </c>
    </row>
    <row r="2840" spans="1:10" x14ac:dyDescent="0.35">
      <c r="A2840" t="str">
        <f t="shared" si="509"/>
        <v>MAR</v>
      </c>
      <c r="B2840" t="str">
        <f t="shared" si="503"/>
        <v>21</v>
      </c>
      <c r="C2840" t="str">
        <f t="shared" si="506"/>
        <v>2020/21</v>
      </c>
      <c r="D2840" t="str">
        <f t="shared" si="510"/>
        <v>SS SL 114884</v>
      </c>
      <c r="E2840" t="str">
        <f t="shared" si="507"/>
        <v>SS</v>
      </c>
      <c r="F2840" t="s">
        <v>25</v>
      </c>
      <c r="G2840" t="s">
        <v>22</v>
      </c>
      <c r="H2840">
        <v>2284.8000000000002</v>
      </c>
      <c r="I2840" t="str">
        <f t="shared" si="508"/>
        <v>Creative Support Ltd</v>
      </c>
      <c r="J2840" t="str">
        <f t="shared" si="511"/>
        <v>Calder Grove (Creative Support) Private Contractors Agency And Contracted Services Supported Living Adult Health &amp; Social Care</v>
      </c>
    </row>
    <row r="2841" spans="1:10" x14ac:dyDescent="0.35">
      <c r="A2841" t="str">
        <f t="shared" si="509"/>
        <v>MAR</v>
      </c>
      <c r="B2841" t="str">
        <f t="shared" si="503"/>
        <v>21</v>
      </c>
      <c r="C2841" t="str">
        <f t="shared" si="506"/>
        <v>2020/21</v>
      </c>
      <c r="D2841" t="str">
        <f t="shared" si="510"/>
        <v>SS SL 114884</v>
      </c>
      <c r="E2841" t="str">
        <f t="shared" si="507"/>
        <v>SS</v>
      </c>
      <c r="F2841" t="s">
        <v>25</v>
      </c>
      <c r="G2841" t="s">
        <v>22</v>
      </c>
      <c r="H2841">
        <v>3452.8</v>
      </c>
      <c r="I2841" t="str">
        <f t="shared" si="508"/>
        <v>Creative Support Ltd</v>
      </c>
      <c r="J2841" t="str">
        <f t="shared" si="511"/>
        <v>Calder Grove (Creative Support) Private Contractors Agency And Contracted Services Supported Living Adult Health &amp; Social Care</v>
      </c>
    </row>
    <row r="2842" spans="1:10" x14ac:dyDescent="0.35">
      <c r="A2842" t="str">
        <f t="shared" si="509"/>
        <v>MAR</v>
      </c>
      <c r="B2842" t="str">
        <f t="shared" si="503"/>
        <v>21</v>
      </c>
      <c r="C2842" t="str">
        <f t="shared" si="506"/>
        <v>2020/21</v>
      </c>
      <c r="D2842" t="str">
        <f t="shared" si="510"/>
        <v>SS SL 114884</v>
      </c>
      <c r="E2842" t="str">
        <f t="shared" si="507"/>
        <v>SS</v>
      </c>
      <c r="F2842" t="s">
        <v>25</v>
      </c>
      <c r="G2842" t="s">
        <v>22</v>
      </c>
      <c r="H2842">
        <v>8100.8</v>
      </c>
      <c r="I2842" t="str">
        <f t="shared" si="508"/>
        <v>Creative Support Ltd</v>
      </c>
      <c r="J2842" t="str">
        <f t="shared" si="511"/>
        <v>Calder Grove (Creative Support) Private Contractors Agency And Contracted Services Supported Living Adult Health &amp; Social Care</v>
      </c>
    </row>
    <row r="2843" spans="1:10" x14ac:dyDescent="0.35">
      <c r="A2843" t="str">
        <f t="shared" si="509"/>
        <v>MAR</v>
      </c>
      <c r="B2843" t="str">
        <f t="shared" si="503"/>
        <v>21</v>
      </c>
      <c r="C2843" t="str">
        <f t="shared" si="506"/>
        <v>2020/21</v>
      </c>
      <c r="D2843" t="str">
        <f t="shared" si="510"/>
        <v>SS SL 114884</v>
      </c>
      <c r="E2843" t="str">
        <f t="shared" si="507"/>
        <v>SS</v>
      </c>
      <c r="F2843" t="s">
        <v>25</v>
      </c>
      <c r="G2843" t="s">
        <v>22</v>
      </c>
      <c r="H2843">
        <v>3452.8</v>
      </c>
      <c r="I2843" t="str">
        <f t="shared" si="508"/>
        <v>Creative Support Ltd</v>
      </c>
      <c r="J2843" t="str">
        <f t="shared" si="511"/>
        <v>Calder Grove (Creative Support) Private Contractors Agency And Contracted Services Supported Living Adult Health &amp; Social Care</v>
      </c>
    </row>
    <row r="2844" spans="1:10" x14ac:dyDescent="0.35">
      <c r="A2844" t="str">
        <f t="shared" si="509"/>
        <v>MAR</v>
      </c>
      <c r="B2844" t="str">
        <f t="shared" si="503"/>
        <v>21</v>
      </c>
      <c r="C2844" t="str">
        <f t="shared" si="506"/>
        <v>2020/21</v>
      </c>
      <c r="D2844" t="str">
        <f t="shared" ref="D2844:D2858" si="512">"SS SL 114892"</f>
        <v>SS SL 114892</v>
      </c>
      <c r="E2844" t="str">
        <f t="shared" si="507"/>
        <v>SS</v>
      </c>
      <c r="F2844" t="s">
        <v>25</v>
      </c>
      <c r="G2844" t="s">
        <v>22</v>
      </c>
      <c r="H2844">
        <v>2788.8</v>
      </c>
      <c r="I2844" t="str">
        <f t="shared" si="508"/>
        <v>Creative Support Ltd</v>
      </c>
      <c r="J2844" t="str">
        <f t="shared" ref="J2844:J2858" si="513">"School Lane (Creative Support Private Contractors Agency And Contracted Services Supported Living Adult Health &amp; Social Care"</f>
        <v>School Lane (Creative Support Private Contractors Agency And Contracted Services Supported Living Adult Health &amp; Social Care</v>
      </c>
    </row>
    <row r="2845" spans="1:10" x14ac:dyDescent="0.35">
      <c r="A2845" t="str">
        <f t="shared" si="509"/>
        <v>MAR</v>
      </c>
      <c r="B2845" t="str">
        <f t="shared" si="503"/>
        <v>21</v>
      </c>
      <c r="C2845" t="str">
        <f t="shared" si="506"/>
        <v>2020/21</v>
      </c>
      <c r="D2845" t="str">
        <f t="shared" si="512"/>
        <v>SS SL 114892</v>
      </c>
      <c r="E2845" t="str">
        <f t="shared" si="507"/>
        <v>SS</v>
      </c>
      <c r="F2845" t="s">
        <v>25</v>
      </c>
      <c r="G2845" t="s">
        <v>22</v>
      </c>
      <c r="H2845">
        <v>3253.6</v>
      </c>
      <c r="I2845" t="str">
        <f t="shared" si="508"/>
        <v>Creative Support Ltd</v>
      </c>
      <c r="J2845" t="str">
        <f t="shared" si="513"/>
        <v>School Lane (Creative Support Private Contractors Agency And Contracted Services Supported Living Adult Health &amp; Social Care</v>
      </c>
    </row>
    <row r="2846" spans="1:10" x14ac:dyDescent="0.35">
      <c r="A2846" t="str">
        <f t="shared" si="509"/>
        <v>MAR</v>
      </c>
      <c r="B2846" t="str">
        <f t="shared" si="503"/>
        <v>21</v>
      </c>
      <c r="C2846" t="str">
        <f t="shared" si="506"/>
        <v>2020/21</v>
      </c>
      <c r="D2846" t="str">
        <f t="shared" si="512"/>
        <v>SS SL 114892</v>
      </c>
      <c r="E2846" t="str">
        <f t="shared" si="507"/>
        <v>SS</v>
      </c>
      <c r="F2846" t="s">
        <v>25</v>
      </c>
      <c r="G2846" t="s">
        <v>22</v>
      </c>
      <c r="H2846">
        <v>2656</v>
      </c>
      <c r="I2846" t="str">
        <f t="shared" si="508"/>
        <v>Creative Support Ltd</v>
      </c>
      <c r="J2846" t="str">
        <f t="shared" si="513"/>
        <v>School Lane (Creative Support Private Contractors Agency And Contracted Services Supported Living Adult Health &amp; Social Care</v>
      </c>
    </row>
    <row r="2847" spans="1:10" x14ac:dyDescent="0.35">
      <c r="A2847" t="str">
        <f t="shared" si="509"/>
        <v>MAR</v>
      </c>
      <c r="B2847" t="str">
        <f t="shared" si="503"/>
        <v>21</v>
      </c>
      <c r="C2847" t="str">
        <f t="shared" si="506"/>
        <v>2020/21</v>
      </c>
      <c r="D2847" t="str">
        <f t="shared" si="512"/>
        <v>SS SL 114892</v>
      </c>
      <c r="E2847" t="str">
        <f t="shared" si="507"/>
        <v>SS</v>
      </c>
      <c r="F2847" t="s">
        <v>25</v>
      </c>
      <c r="G2847" t="s">
        <v>22</v>
      </c>
      <c r="H2847">
        <v>3270.2</v>
      </c>
      <c r="I2847" t="str">
        <f t="shared" si="508"/>
        <v>Creative Support Ltd</v>
      </c>
      <c r="J2847" t="str">
        <f t="shared" si="513"/>
        <v>School Lane (Creative Support Private Contractors Agency And Contracted Services Supported Living Adult Health &amp; Social Care</v>
      </c>
    </row>
    <row r="2848" spans="1:10" x14ac:dyDescent="0.35">
      <c r="A2848" t="str">
        <f t="shared" si="509"/>
        <v>MAR</v>
      </c>
      <c r="B2848" t="str">
        <f t="shared" si="503"/>
        <v>21</v>
      </c>
      <c r="C2848" t="str">
        <f t="shared" si="506"/>
        <v>2020/21</v>
      </c>
      <c r="D2848" t="str">
        <f t="shared" si="512"/>
        <v>SS SL 114892</v>
      </c>
      <c r="E2848" t="str">
        <f t="shared" si="507"/>
        <v>SS</v>
      </c>
      <c r="F2848" t="s">
        <v>25</v>
      </c>
      <c r="G2848" t="s">
        <v>22</v>
      </c>
      <c r="H2848">
        <v>2284.8000000000002</v>
      </c>
      <c r="I2848" t="str">
        <f t="shared" si="508"/>
        <v>Creative Support Ltd</v>
      </c>
      <c r="J2848" t="str">
        <f t="shared" si="513"/>
        <v>School Lane (Creative Support Private Contractors Agency And Contracted Services Supported Living Adult Health &amp; Social Care</v>
      </c>
    </row>
    <row r="2849" spans="1:10" x14ac:dyDescent="0.35">
      <c r="A2849" t="str">
        <f t="shared" si="509"/>
        <v>MAR</v>
      </c>
      <c r="B2849" t="str">
        <f t="shared" si="503"/>
        <v>21</v>
      </c>
      <c r="C2849" t="str">
        <f t="shared" si="506"/>
        <v>2020/21</v>
      </c>
      <c r="D2849" t="str">
        <f t="shared" si="512"/>
        <v>SS SL 114892</v>
      </c>
      <c r="E2849" t="str">
        <f t="shared" si="507"/>
        <v>SS</v>
      </c>
      <c r="F2849" t="s">
        <v>25</v>
      </c>
      <c r="G2849" t="s">
        <v>22</v>
      </c>
      <c r="H2849">
        <v>2284.8000000000002</v>
      </c>
      <c r="I2849" t="str">
        <f t="shared" si="508"/>
        <v>Creative Support Ltd</v>
      </c>
      <c r="J2849" t="str">
        <f t="shared" si="513"/>
        <v>School Lane (Creative Support Private Contractors Agency And Contracted Services Supported Living Adult Health &amp; Social Care</v>
      </c>
    </row>
    <row r="2850" spans="1:10" x14ac:dyDescent="0.35">
      <c r="A2850" t="str">
        <f t="shared" si="509"/>
        <v>MAR</v>
      </c>
      <c r="B2850" t="str">
        <f t="shared" si="503"/>
        <v>21</v>
      </c>
      <c r="C2850" t="str">
        <f t="shared" si="506"/>
        <v>2020/21</v>
      </c>
      <c r="D2850" t="str">
        <f t="shared" si="512"/>
        <v>SS SL 114892</v>
      </c>
      <c r="E2850" t="str">
        <f t="shared" si="507"/>
        <v>SS</v>
      </c>
      <c r="F2850" t="s">
        <v>25</v>
      </c>
      <c r="G2850" t="s">
        <v>22</v>
      </c>
      <c r="H2850">
        <v>3253.6</v>
      </c>
      <c r="I2850" t="str">
        <f t="shared" ref="I2850:I2858" si="514">"Creative Support Ltd"</f>
        <v>Creative Support Ltd</v>
      </c>
      <c r="J2850" t="str">
        <f t="shared" si="513"/>
        <v>School Lane (Creative Support Private Contractors Agency And Contracted Services Supported Living Adult Health &amp; Social Care</v>
      </c>
    </row>
    <row r="2851" spans="1:10" x14ac:dyDescent="0.35">
      <c r="A2851" t="str">
        <f t="shared" si="509"/>
        <v>MAR</v>
      </c>
      <c r="B2851" t="str">
        <f t="shared" si="503"/>
        <v>21</v>
      </c>
      <c r="C2851" t="str">
        <f t="shared" si="506"/>
        <v>2020/21</v>
      </c>
      <c r="D2851" t="str">
        <f t="shared" si="512"/>
        <v>SS SL 114892</v>
      </c>
      <c r="E2851" t="str">
        <f t="shared" si="507"/>
        <v>SS</v>
      </c>
      <c r="F2851" t="s">
        <v>25</v>
      </c>
      <c r="G2851" t="s">
        <v>22</v>
      </c>
      <c r="H2851">
        <v>2656</v>
      </c>
      <c r="I2851" t="str">
        <f t="shared" si="514"/>
        <v>Creative Support Ltd</v>
      </c>
      <c r="J2851" t="str">
        <f t="shared" si="513"/>
        <v>School Lane (Creative Support Private Contractors Agency And Contracted Services Supported Living Adult Health &amp; Social Care</v>
      </c>
    </row>
    <row r="2852" spans="1:10" x14ac:dyDescent="0.35">
      <c r="A2852" t="str">
        <f t="shared" si="509"/>
        <v>MAR</v>
      </c>
      <c r="B2852" t="str">
        <f t="shared" si="503"/>
        <v>21</v>
      </c>
      <c r="C2852" t="str">
        <f t="shared" si="506"/>
        <v>2020/21</v>
      </c>
      <c r="D2852" t="str">
        <f t="shared" si="512"/>
        <v>SS SL 114892</v>
      </c>
      <c r="E2852" t="str">
        <f t="shared" si="507"/>
        <v>SS</v>
      </c>
      <c r="F2852" t="s">
        <v>25</v>
      </c>
      <c r="G2852" t="s">
        <v>22</v>
      </c>
      <c r="H2852">
        <v>2788.8</v>
      </c>
      <c r="I2852" t="str">
        <f t="shared" si="514"/>
        <v>Creative Support Ltd</v>
      </c>
      <c r="J2852" t="str">
        <f t="shared" si="513"/>
        <v>School Lane (Creative Support Private Contractors Agency And Contracted Services Supported Living Adult Health &amp; Social Care</v>
      </c>
    </row>
    <row r="2853" spans="1:10" x14ac:dyDescent="0.35">
      <c r="A2853" t="str">
        <f t="shared" si="509"/>
        <v>MAR</v>
      </c>
      <c r="B2853" t="str">
        <f t="shared" si="503"/>
        <v>21</v>
      </c>
      <c r="C2853" t="str">
        <f t="shared" si="506"/>
        <v>2020/21</v>
      </c>
      <c r="D2853" t="str">
        <f t="shared" si="512"/>
        <v>SS SL 114892</v>
      </c>
      <c r="E2853" t="str">
        <f t="shared" si="507"/>
        <v>SS</v>
      </c>
      <c r="F2853" t="s">
        <v>25</v>
      </c>
      <c r="G2853" t="s">
        <v>22</v>
      </c>
      <c r="H2853">
        <v>3270.2</v>
      </c>
      <c r="I2853" t="str">
        <f t="shared" si="514"/>
        <v>Creative Support Ltd</v>
      </c>
      <c r="J2853" t="str">
        <f t="shared" si="513"/>
        <v>School Lane (Creative Support Private Contractors Agency And Contracted Services Supported Living Adult Health &amp; Social Care</v>
      </c>
    </row>
    <row r="2854" spans="1:10" x14ac:dyDescent="0.35">
      <c r="A2854" t="str">
        <f t="shared" si="509"/>
        <v>MAR</v>
      </c>
      <c r="B2854" t="str">
        <f t="shared" si="503"/>
        <v>21</v>
      </c>
      <c r="C2854" t="str">
        <f t="shared" si="506"/>
        <v>2020/21</v>
      </c>
      <c r="D2854" t="str">
        <f t="shared" si="512"/>
        <v>SS SL 114892</v>
      </c>
      <c r="E2854" t="str">
        <f t="shared" si="507"/>
        <v>SS</v>
      </c>
      <c r="F2854" t="s">
        <v>25</v>
      </c>
      <c r="G2854" t="s">
        <v>22</v>
      </c>
      <c r="H2854">
        <v>3270.2</v>
      </c>
      <c r="I2854" t="str">
        <f t="shared" si="514"/>
        <v>Creative Support Ltd</v>
      </c>
      <c r="J2854" t="str">
        <f t="shared" si="513"/>
        <v>School Lane (Creative Support Private Contractors Agency And Contracted Services Supported Living Adult Health &amp; Social Care</v>
      </c>
    </row>
    <row r="2855" spans="1:10" x14ac:dyDescent="0.35">
      <c r="A2855" t="str">
        <f t="shared" si="509"/>
        <v>MAR</v>
      </c>
      <c r="B2855" t="str">
        <f t="shared" si="503"/>
        <v>21</v>
      </c>
      <c r="C2855" t="str">
        <f t="shared" si="506"/>
        <v>2020/21</v>
      </c>
      <c r="D2855" t="str">
        <f t="shared" si="512"/>
        <v>SS SL 114892</v>
      </c>
      <c r="E2855" t="str">
        <f t="shared" si="507"/>
        <v>SS</v>
      </c>
      <c r="F2855" t="s">
        <v>25</v>
      </c>
      <c r="G2855" t="s">
        <v>22</v>
      </c>
      <c r="H2855">
        <v>2656</v>
      </c>
      <c r="I2855" t="str">
        <f t="shared" si="514"/>
        <v>Creative Support Ltd</v>
      </c>
      <c r="J2855" t="str">
        <f t="shared" si="513"/>
        <v>School Lane (Creative Support Private Contractors Agency And Contracted Services Supported Living Adult Health &amp; Social Care</v>
      </c>
    </row>
    <row r="2856" spans="1:10" x14ac:dyDescent="0.35">
      <c r="A2856" t="str">
        <f t="shared" si="509"/>
        <v>MAR</v>
      </c>
      <c r="B2856" t="str">
        <f t="shared" si="503"/>
        <v>21</v>
      </c>
      <c r="C2856" t="str">
        <f t="shared" si="506"/>
        <v>2020/21</v>
      </c>
      <c r="D2856" t="str">
        <f t="shared" si="512"/>
        <v>SS SL 114892</v>
      </c>
      <c r="E2856" t="str">
        <f t="shared" si="507"/>
        <v>SS</v>
      </c>
      <c r="F2856" t="s">
        <v>25</v>
      </c>
      <c r="G2856" t="s">
        <v>22</v>
      </c>
      <c r="H2856">
        <v>2284.8000000000002</v>
      </c>
      <c r="I2856" t="str">
        <f t="shared" si="514"/>
        <v>Creative Support Ltd</v>
      </c>
      <c r="J2856" t="str">
        <f t="shared" si="513"/>
        <v>School Lane (Creative Support Private Contractors Agency And Contracted Services Supported Living Adult Health &amp; Social Care</v>
      </c>
    </row>
    <row r="2857" spans="1:10" x14ac:dyDescent="0.35">
      <c r="A2857" t="str">
        <f t="shared" si="509"/>
        <v>MAR</v>
      </c>
      <c r="B2857" t="str">
        <f t="shared" si="503"/>
        <v>21</v>
      </c>
      <c r="C2857" t="str">
        <f t="shared" si="506"/>
        <v>2020/21</v>
      </c>
      <c r="D2857" t="str">
        <f t="shared" si="512"/>
        <v>SS SL 114892</v>
      </c>
      <c r="E2857" t="str">
        <f t="shared" si="507"/>
        <v>SS</v>
      </c>
      <c r="F2857" t="s">
        <v>25</v>
      </c>
      <c r="G2857" t="s">
        <v>22</v>
      </c>
      <c r="H2857">
        <v>3253.6</v>
      </c>
      <c r="I2857" t="str">
        <f t="shared" si="514"/>
        <v>Creative Support Ltd</v>
      </c>
      <c r="J2857" t="str">
        <f t="shared" si="513"/>
        <v>School Lane (Creative Support Private Contractors Agency And Contracted Services Supported Living Adult Health &amp; Social Care</v>
      </c>
    </row>
    <row r="2858" spans="1:10" x14ac:dyDescent="0.35">
      <c r="A2858" t="str">
        <f t="shared" si="509"/>
        <v>MAR</v>
      </c>
      <c r="B2858" t="str">
        <f t="shared" si="503"/>
        <v>21</v>
      </c>
      <c r="C2858" t="str">
        <f t="shared" si="506"/>
        <v>2020/21</v>
      </c>
      <c r="D2858" t="str">
        <f t="shared" si="512"/>
        <v>SS SL 114892</v>
      </c>
      <c r="E2858" t="str">
        <f t="shared" si="507"/>
        <v>SS</v>
      </c>
      <c r="F2858" t="s">
        <v>25</v>
      </c>
      <c r="G2858" t="s">
        <v>22</v>
      </c>
      <c r="H2858">
        <v>2788.8</v>
      </c>
      <c r="I2858" t="str">
        <f t="shared" si="514"/>
        <v>Creative Support Ltd</v>
      </c>
      <c r="J2858" t="str">
        <f t="shared" si="513"/>
        <v>School Lane (Creative Support Private Contractors Agency And Contracted Services Supported Living Adult Health &amp; Social Care</v>
      </c>
    </row>
    <row r="2859" spans="1:10" x14ac:dyDescent="0.35">
      <c r="A2859" t="str">
        <f t="shared" si="509"/>
        <v>MAR</v>
      </c>
      <c r="B2859" t="str">
        <f t="shared" si="503"/>
        <v>21</v>
      </c>
      <c r="C2859" t="str">
        <f t="shared" si="506"/>
        <v>2020/21</v>
      </c>
      <c r="D2859" t="str">
        <f>"SS SL 113638"</f>
        <v>SS SL 113638</v>
      </c>
      <c r="E2859" t="str">
        <f t="shared" si="507"/>
        <v>SS</v>
      </c>
      <c r="F2859" t="s">
        <v>25</v>
      </c>
      <c r="G2859" t="s">
        <v>22</v>
      </c>
      <c r="H2859">
        <v>4849.76</v>
      </c>
      <c r="I2859" t="str">
        <f>"Autism Plus Ltd"</f>
        <v>Autism Plus Ltd</v>
      </c>
      <c r="J2859" t="str">
        <f>"7 - 9 Field Road (Autism Plus) Private Contractors Agency And Contracted Services Supported Living Adult Health &amp; Social Care"</f>
        <v>7 - 9 Field Road (Autism Plus) Private Contractors Agency And Contracted Services Supported Living Adult Health &amp; Social Care</v>
      </c>
    </row>
    <row r="2860" spans="1:10" x14ac:dyDescent="0.35">
      <c r="A2860" t="str">
        <f t="shared" si="509"/>
        <v>MAR</v>
      </c>
      <c r="B2860" t="str">
        <f t="shared" si="503"/>
        <v>21</v>
      </c>
      <c r="C2860" t="str">
        <f t="shared" si="506"/>
        <v>2020/21</v>
      </c>
      <c r="D2860" t="str">
        <f>"SS SL 114877"</f>
        <v>SS SL 114877</v>
      </c>
      <c r="E2860" t="str">
        <f t="shared" si="507"/>
        <v>SS</v>
      </c>
      <c r="F2860" t="s">
        <v>25</v>
      </c>
      <c r="G2860" t="s">
        <v>22</v>
      </c>
      <c r="H2860">
        <v>2526.7199999999998</v>
      </c>
      <c r="I2860" t="str">
        <f>"Creative Support Ltd"</f>
        <v>Creative Support Ltd</v>
      </c>
      <c r="J2860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861" spans="1:10" x14ac:dyDescent="0.35">
      <c r="A2861" t="str">
        <f t="shared" si="509"/>
        <v>MAR</v>
      </c>
      <c r="B2861" t="str">
        <f t="shared" si="503"/>
        <v>21</v>
      </c>
      <c r="C2861" t="str">
        <f t="shared" si="506"/>
        <v>2020/21</v>
      </c>
      <c r="D2861" t="str">
        <f>"SS SL 114877"</f>
        <v>SS SL 114877</v>
      </c>
      <c r="E2861" t="str">
        <f t="shared" si="507"/>
        <v>SS</v>
      </c>
      <c r="F2861" t="s">
        <v>25</v>
      </c>
      <c r="G2861" t="s">
        <v>22</v>
      </c>
      <c r="H2861">
        <v>8368.56</v>
      </c>
      <c r="I2861" t="str">
        <f>"Creative Support Ltd"</f>
        <v>Creative Support Ltd</v>
      </c>
      <c r="J2861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862" spans="1:10" x14ac:dyDescent="0.35">
      <c r="A2862" t="str">
        <f t="shared" si="509"/>
        <v>MAR</v>
      </c>
      <c r="B2862" t="str">
        <f t="shared" si="503"/>
        <v>21</v>
      </c>
      <c r="C2862" t="str">
        <f t="shared" si="506"/>
        <v>2020/21</v>
      </c>
      <c r="D2862" t="str">
        <f>"SS SL 114877"</f>
        <v>SS SL 114877</v>
      </c>
      <c r="E2862" t="str">
        <f t="shared" si="507"/>
        <v>SS</v>
      </c>
      <c r="F2862" t="s">
        <v>25</v>
      </c>
      <c r="G2862" t="s">
        <v>22</v>
      </c>
      <c r="H2862">
        <v>7428.88</v>
      </c>
      <c r="I2862" t="str">
        <f>"Creative Support Ltd"</f>
        <v>Creative Support Ltd</v>
      </c>
      <c r="J2862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863" spans="1:10" x14ac:dyDescent="0.35">
      <c r="A2863" t="str">
        <f t="shared" si="509"/>
        <v>MAR</v>
      </c>
      <c r="B2863" t="str">
        <f t="shared" si="503"/>
        <v>21</v>
      </c>
      <c r="C2863" t="str">
        <f t="shared" si="506"/>
        <v>2020/21</v>
      </c>
      <c r="D2863" t="str">
        <f>"SS SL 114877"</f>
        <v>SS SL 114877</v>
      </c>
      <c r="E2863" t="str">
        <f t="shared" si="507"/>
        <v>SS</v>
      </c>
      <c r="F2863" t="s">
        <v>25</v>
      </c>
      <c r="G2863" t="s">
        <v>22</v>
      </c>
      <c r="H2863">
        <v>1493.36</v>
      </c>
      <c r="I2863" t="str">
        <f>"Creative Support Ltd"</f>
        <v>Creative Support Ltd</v>
      </c>
      <c r="J2863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864" spans="1:10" x14ac:dyDescent="0.35">
      <c r="A2864" t="str">
        <f t="shared" si="509"/>
        <v>MAR</v>
      </c>
      <c r="B2864" t="str">
        <f t="shared" si="503"/>
        <v>21</v>
      </c>
      <c r="C2864" t="str">
        <f t="shared" si="506"/>
        <v>2020/21</v>
      </c>
      <c r="D2864" t="str">
        <f>"SS SL 114877"</f>
        <v>SS SL 114877</v>
      </c>
      <c r="E2864" t="str">
        <f t="shared" si="507"/>
        <v>SS</v>
      </c>
      <c r="F2864" t="s">
        <v>25</v>
      </c>
      <c r="G2864" t="s">
        <v>22</v>
      </c>
      <c r="H2864">
        <v>-0.05</v>
      </c>
      <c r="I2864" t="str">
        <f>"Creative Support Ltd"</f>
        <v>Creative Support Ltd</v>
      </c>
      <c r="J2864" t="str">
        <f>"Ravenstone Drive (Creative Support) Private Contractors Agency And Contracted Services Supported Living Adult Health &amp; Social Care"</f>
        <v>Ravenstone Drive (Creative Support) Private Contractors Agency And Contracted Services Supported Living Adult Health &amp; Social Care</v>
      </c>
    </row>
    <row r="2865" spans="1:10" x14ac:dyDescent="0.35">
      <c r="A2865" t="str">
        <f t="shared" si="509"/>
        <v>MAR</v>
      </c>
      <c r="B2865" t="str">
        <f t="shared" si="503"/>
        <v>21</v>
      </c>
      <c r="C2865" t="str">
        <f t="shared" si="506"/>
        <v>2020/21</v>
      </c>
      <c r="D2865" t="str">
        <f>"SS SL 114855"</f>
        <v>SS SL 114855</v>
      </c>
      <c r="E2865" t="str">
        <f t="shared" si="507"/>
        <v>SS</v>
      </c>
      <c r="F2865" t="s">
        <v>25</v>
      </c>
      <c r="G2865" t="s">
        <v>22</v>
      </c>
      <c r="H2865">
        <v>1560.24</v>
      </c>
      <c r="I2865" t="str">
        <f>"The Mayfield Trust"</f>
        <v>The Mayfield Trust</v>
      </c>
      <c r="J2865" t="str">
        <f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2866" spans="1:10" x14ac:dyDescent="0.35">
      <c r="A2866" t="str">
        <f t="shared" si="509"/>
        <v>MAR</v>
      </c>
      <c r="B2866" t="str">
        <f t="shared" si="503"/>
        <v>21</v>
      </c>
      <c r="C2866" t="str">
        <f t="shared" si="506"/>
        <v>2020/21</v>
      </c>
      <c r="D2866" t="str">
        <f>"SS SL 114855"</f>
        <v>SS SL 114855</v>
      </c>
      <c r="E2866" t="str">
        <f t="shared" si="507"/>
        <v>SS</v>
      </c>
      <c r="F2866" t="s">
        <v>25</v>
      </c>
      <c r="G2866" t="s">
        <v>22</v>
      </c>
      <c r="H2866">
        <v>709.2</v>
      </c>
      <c r="I2866" t="str">
        <f>"The Mayfield Trust"</f>
        <v>The Mayfield Trust</v>
      </c>
      <c r="J2866" t="str">
        <f>"Mayfield Mews (Mayfield) Private Contractors Agency And Contracted Services Supported Living Adult Health &amp; Social Care"</f>
        <v>Mayfield Mews (Mayfield) Private Contractors Agency And Contracted Services Supported Living Adult Health &amp; Social Care</v>
      </c>
    </row>
    <row r="2867" spans="1:10" x14ac:dyDescent="0.35">
      <c r="A2867" t="str">
        <f t="shared" si="509"/>
        <v>MAR</v>
      </c>
      <c r="B2867" t="str">
        <f t="shared" ref="B2867:B2930" si="515">"21"</f>
        <v>21</v>
      </c>
      <c r="C2867" t="str">
        <f t="shared" si="506"/>
        <v>2020/21</v>
      </c>
      <c r="D2867" t="str">
        <f>"SS SL 117685"</f>
        <v>SS SL 117685</v>
      </c>
      <c r="E2867" t="str">
        <f t="shared" si="507"/>
        <v>SS</v>
      </c>
      <c r="F2867" t="s">
        <v>25</v>
      </c>
      <c r="G2867" t="s">
        <v>22</v>
      </c>
      <c r="H2867">
        <v>11504.4</v>
      </c>
      <c r="I2867" t="str">
        <f>"Possabilities CIC"</f>
        <v>Possabilities CIC</v>
      </c>
      <c r="J2867" t="str">
        <f>"Yew Tree (Northowram( Private Contractors Agency And Contracted Services Supported Living Adult Health &amp; Social Care"</f>
        <v>Yew Tree (Northowram( Private Contractors Agency And Contracted Services Supported Living Adult Health &amp; Social Care</v>
      </c>
    </row>
    <row r="2868" spans="1:10" x14ac:dyDescent="0.35">
      <c r="A2868" t="str">
        <f t="shared" si="509"/>
        <v>MAR</v>
      </c>
      <c r="B2868" t="str">
        <f t="shared" si="515"/>
        <v>21</v>
      </c>
      <c r="C2868" t="str">
        <f t="shared" si="506"/>
        <v>2020/21</v>
      </c>
      <c r="D2868" t="str">
        <f>"SS CG 117619"</f>
        <v>SS CG 117619</v>
      </c>
      <c r="E2868" t="str">
        <f t="shared" si="507"/>
        <v>SS</v>
      </c>
      <c r="F2868" t="s">
        <v>25</v>
      </c>
      <c r="G2868" t="s">
        <v>22</v>
      </c>
      <c r="H2868">
        <v>60000</v>
      </c>
      <c r="I2868" t="str">
        <f>"Calderdale Carers Project"</f>
        <v>Calderdale Carers Project</v>
      </c>
      <c r="J2868" t="str">
        <f>"Calderdale Carers Project SLA (BCF) Voluntary Associations Agency And Contracted Services Carers Support Adult Health &amp; Social Care"</f>
        <v>Calderdale Carers Project SLA (BCF) Voluntary Associations Agency And Contracted Services Carers Support Adult Health &amp; Social Care</v>
      </c>
    </row>
    <row r="2869" spans="1:10" x14ac:dyDescent="0.35">
      <c r="A2869" t="str">
        <f t="shared" si="509"/>
        <v>MAR</v>
      </c>
      <c r="B2869" t="str">
        <f t="shared" si="515"/>
        <v>21</v>
      </c>
      <c r="C2869" t="str">
        <f t="shared" si="506"/>
        <v>2020/21</v>
      </c>
      <c r="D2869" t="str">
        <f>"SS AD 117792"</f>
        <v>SS AD 117792</v>
      </c>
      <c r="E2869" t="str">
        <f t="shared" si="507"/>
        <v>SS</v>
      </c>
      <c r="F2869" t="s">
        <v>25</v>
      </c>
      <c r="G2869" t="s">
        <v>22</v>
      </c>
      <c r="H2869">
        <v>7000</v>
      </c>
      <c r="I2869" t="str">
        <f>"Anchor Trust"</f>
        <v>Anchor Trust</v>
      </c>
      <c r="J2869" t="str">
        <f>"DoH COVID-19 Infection Control Grant - Round 2 Private Contractors Agency And Contracted Services Residential &amp; Nursing Placements (Older People"</f>
        <v>DoH COVID-19 Infection Control Grant - Round 2 Private Contractors Agency And Contracted Services Residential &amp; Nursing Placements (Older People</v>
      </c>
    </row>
    <row r="2870" spans="1:10" x14ac:dyDescent="0.35">
      <c r="A2870" t="str">
        <f t="shared" si="509"/>
        <v>MAR</v>
      </c>
      <c r="B2870" t="str">
        <f t="shared" si="515"/>
        <v>21</v>
      </c>
      <c r="C2870" t="str">
        <f t="shared" si="506"/>
        <v>2020/21</v>
      </c>
      <c r="D2870" t="str">
        <f>"SS AD 117791"</f>
        <v>SS AD 117791</v>
      </c>
      <c r="E2870" t="str">
        <f t="shared" si="507"/>
        <v>SS</v>
      </c>
      <c r="F2870" t="s">
        <v>25</v>
      </c>
      <c r="G2870" t="s">
        <v>22</v>
      </c>
      <c r="H2870">
        <v>14000</v>
      </c>
      <c r="I2870" t="str">
        <f>"Anchor Trust"</f>
        <v>Anchor Trust</v>
      </c>
      <c r="J2870" t="str">
        <f>"DoH COVID-19 Infection Control Grant - Round 2 Private Contractors Agency And Contracted Services Residential &amp; Nursing Placements (Older People"</f>
        <v>DoH COVID-19 Infection Control Grant - Round 2 Private Contractors Agency And Contracted Services Residential &amp; Nursing Placements (Older People</v>
      </c>
    </row>
    <row r="2871" spans="1:10" x14ac:dyDescent="0.35">
      <c r="A2871" t="str">
        <f t="shared" si="509"/>
        <v>MAR</v>
      </c>
      <c r="B2871" t="str">
        <f t="shared" si="515"/>
        <v>21</v>
      </c>
      <c r="C2871" t="str">
        <f t="shared" si="506"/>
        <v>2020/21</v>
      </c>
      <c r="D2871" t="str">
        <f>"SS AD 117790"</f>
        <v>SS AD 117790</v>
      </c>
      <c r="E2871" t="str">
        <f t="shared" si="507"/>
        <v>SS</v>
      </c>
      <c r="F2871" t="s">
        <v>25</v>
      </c>
      <c r="G2871" t="s">
        <v>22</v>
      </c>
      <c r="H2871">
        <v>6478</v>
      </c>
      <c r="I2871" t="str">
        <f>"The Next Step Trust"</f>
        <v>The Next Step Trust</v>
      </c>
      <c r="J2871" t="str">
        <f>"DoH COVID-19 Infection Control Grant - Round 2 Private Contractors Agency And Contracted Services Residential &amp; Nursing Placements (Older People"</f>
        <v>DoH COVID-19 Infection Control Grant - Round 2 Private Contractors Agency And Contracted Services Residential &amp; Nursing Placements (Older People</v>
      </c>
    </row>
    <row r="2872" spans="1:10" x14ac:dyDescent="0.35">
      <c r="A2872" t="str">
        <f t="shared" si="509"/>
        <v>MAR</v>
      </c>
      <c r="B2872" t="str">
        <f t="shared" si="515"/>
        <v>21</v>
      </c>
      <c r="C2872" t="str">
        <f t="shared" si="506"/>
        <v>2020/21</v>
      </c>
      <c r="D2872" t="str">
        <f>"SS AD 117799"</f>
        <v>SS AD 117799</v>
      </c>
      <c r="E2872" t="str">
        <f t="shared" si="507"/>
        <v>SS</v>
      </c>
      <c r="F2872" t="s">
        <v>25</v>
      </c>
      <c r="G2872" t="s">
        <v>22</v>
      </c>
      <c r="H2872">
        <v>4000</v>
      </c>
      <c r="I2872" t="str">
        <f>"Anchor Trust"</f>
        <v>Anchor Trust</v>
      </c>
      <c r="J2872" t="str">
        <f>"Covid-19 Rapid Testing Fund Private Contractors Agency And Contracted Services Residential &amp; Nursing Placements (Older People) Adult Health &amp; So"</f>
        <v>Covid-19 Rapid Testing Fund Private Contractors Agency And Contracted Services Residential &amp; Nursing Placements (Older People) Adult Health &amp; So</v>
      </c>
    </row>
    <row r="2873" spans="1:10" x14ac:dyDescent="0.35">
      <c r="A2873" t="str">
        <f t="shared" si="509"/>
        <v>MAR</v>
      </c>
      <c r="B2873" t="str">
        <f t="shared" si="515"/>
        <v>21</v>
      </c>
      <c r="C2873" t="str">
        <f t="shared" si="506"/>
        <v>2020/21</v>
      </c>
      <c r="D2873" t="str">
        <f>"SS AD 117798"</f>
        <v>SS AD 117798</v>
      </c>
      <c r="E2873" t="str">
        <f t="shared" si="507"/>
        <v>SS</v>
      </c>
      <c r="F2873" t="s">
        <v>25</v>
      </c>
      <c r="G2873" t="s">
        <v>22</v>
      </c>
      <c r="H2873">
        <v>2000</v>
      </c>
      <c r="I2873" t="str">
        <f>"Anchor Trust"</f>
        <v>Anchor Trust</v>
      </c>
      <c r="J2873" t="str">
        <f>"Covid-19 Rapid Testing Fund Private Contractors Agency And Contracted Services Residential &amp; Nursing Placements (Older People) Adult Health &amp; So"</f>
        <v>Covid-19 Rapid Testing Fund Private Contractors Agency And Contracted Services Residential &amp; Nursing Placements (Older People) Adult Health &amp; So</v>
      </c>
    </row>
    <row r="2874" spans="1:10" x14ac:dyDescent="0.35">
      <c r="A2874" t="str">
        <f t="shared" si="509"/>
        <v>MAR</v>
      </c>
      <c r="B2874" t="str">
        <f t="shared" si="515"/>
        <v>21</v>
      </c>
      <c r="C2874" t="str">
        <f t="shared" si="506"/>
        <v>2020/21</v>
      </c>
      <c r="D2874" t="str">
        <f>"SS AD 117796"</f>
        <v>SS AD 117796</v>
      </c>
      <c r="E2874" t="str">
        <f t="shared" si="507"/>
        <v>SS</v>
      </c>
      <c r="F2874" t="s">
        <v>25</v>
      </c>
      <c r="G2874" t="s">
        <v>22</v>
      </c>
      <c r="H2874">
        <v>638</v>
      </c>
      <c r="I2874" t="str">
        <f>"The Next Step Trust"</f>
        <v>The Next Step Trust</v>
      </c>
      <c r="J2874" t="str">
        <f>"Covid-19 Rapid Testing Fund Private Contractors Agency And Contracted Services Residential &amp; Nursing Placements (Older People) Adult Health &amp; So"</f>
        <v>Covid-19 Rapid Testing Fund Private Contractors Agency And Contracted Services Residential &amp; Nursing Placements (Older People) Adult Health &amp; So</v>
      </c>
    </row>
    <row r="2875" spans="1:10" x14ac:dyDescent="0.35">
      <c r="A2875" t="str">
        <f t="shared" si="509"/>
        <v>MAR</v>
      </c>
      <c r="B2875" t="str">
        <f t="shared" si="515"/>
        <v>21</v>
      </c>
      <c r="C2875" t="str">
        <f t="shared" si="506"/>
        <v>2020/21</v>
      </c>
      <c r="E2875" t="str">
        <f t="shared" si="507"/>
        <v/>
      </c>
      <c r="F2875" t="s">
        <v>25</v>
      </c>
      <c r="G2875" t="s">
        <v>22</v>
      </c>
      <c r="H2875">
        <v>47255.38</v>
      </c>
      <c r="I2875" t="str">
        <f t="shared" ref="I2875:I2882" si="516">"Anchor Trust"</f>
        <v>Anchor Trust</v>
      </c>
      <c r="J2875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876" spans="1:10" x14ac:dyDescent="0.35">
      <c r="A2876" t="str">
        <f t="shared" si="509"/>
        <v>MAR</v>
      </c>
      <c r="B2876" t="str">
        <f t="shared" si="515"/>
        <v>21</v>
      </c>
      <c r="C2876" t="str">
        <f t="shared" si="506"/>
        <v>2020/21</v>
      </c>
      <c r="E2876" t="str">
        <f t="shared" si="507"/>
        <v/>
      </c>
      <c r="F2876" t="s">
        <v>25</v>
      </c>
      <c r="G2876" t="s">
        <v>22</v>
      </c>
      <c r="H2876">
        <v>18211.14</v>
      </c>
      <c r="I2876" t="str">
        <f t="shared" si="516"/>
        <v>Anchor Trust</v>
      </c>
      <c r="J2876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877" spans="1:10" x14ac:dyDescent="0.35">
      <c r="A2877" t="str">
        <f t="shared" si="509"/>
        <v>MAR</v>
      </c>
      <c r="B2877" t="str">
        <f t="shared" si="515"/>
        <v>21</v>
      </c>
      <c r="C2877" t="str">
        <f t="shared" si="506"/>
        <v>2020/21</v>
      </c>
      <c r="E2877" t="str">
        <f t="shared" si="507"/>
        <v/>
      </c>
      <c r="F2877" t="s">
        <v>25</v>
      </c>
      <c r="G2877" t="s">
        <v>22</v>
      </c>
      <c r="H2877">
        <v>15904.22</v>
      </c>
      <c r="I2877" t="str">
        <f t="shared" si="516"/>
        <v>Anchor Trust</v>
      </c>
      <c r="J2877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878" spans="1:10" x14ac:dyDescent="0.35">
      <c r="A2878" t="str">
        <f t="shared" si="509"/>
        <v>MAR</v>
      </c>
      <c r="B2878" t="str">
        <f t="shared" si="515"/>
        <v>21</v>
      </c>
      <c r="C2878" t="str">
        <f t="shared" si="506"/>
        <v>2020/21</v>
      </c>
      <c r="E2878" t="str">
        <f t="shared" si="507"/>
        <v/>
      </c>
      <c r="F2878" t="s">
        <v>25</v>
      </c>
      <c r="G2878" t="s">
        <v>22</v>
      </c>
      <c r="H2878">
        <v>11024.58</v>
      </c>
      <c r="I2878" t="str">
        <f t="shared" si="516"/>
        <v>Anchor Trust</v>
      </c>
      <c r="J2878" t="str">
        <f>"Residential Placements (Older People) - Private Home Private Contractors Agency And Contracted Services Residential &amp; Nursing Placements (Older"</f>
        <v>Residential Placements (Older People) - Private Home Private Contractors Agency And Contracted Services Residential &amp; Nursing Placements (Older</v>
      </c>
    </row>
    <row r="2879" spans="1:10" x14ac:dyDescent="0.35">
      <c r="A2879" t="str">
        <f t="shared" si="509"/>
        <v>MAR</v>
      </c>
      <c r="B2879" t="str">
        <f t="shared" si="515"/>
        <v>21</v>
      </c>
      <c r="C2879" t="str">
        <f t="shared" si="506"/>
        <v>2020/21</v>
      </c>
      <c r="E2879" t="str">
        <f t="shared" si="507"/>
        <v/>
      </c>
      <c r="F2879" t="s">
        <v>25</v>
      </c>
      <c r="G2879" t="s">
        <v>22</v>
      </c>
      <c r="H2879">
        <v>-36384.730000000003</v>
      </c>
      <c r="I2879" t="str">
        <f t="shared" si="516"/>
        <v>Anchor Trust</v>
      </c>
      <c r="J2879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880" spans="1:10" x14ac:dyDescent="0.35">
      <c r="A2880" t="str">
        <f t="shared" si="509"/>
        <v>MAR</v>
      </c>
      <c r="B2880" t="str">
        <f t="shared" si="515"/>
        <v>21</v>
      </c>
      <c r="C2880" t="str">
        <f t="shared" si="506"/>
        <v>2020/21</v>
      </c>
      <c r="E2880" t="str">
        <f t="shared" si="507"/>
        <v/>
      </c>
      <c r="F2880" t="s">
        <v>25</v>
      </c>
      <c r="G2880" t="s">
        <v>22</v>
      </c>
      <c r="H2880">
        <v>-6698.79</v>
      </c>
      <c r="I2880" t="str">
        <f t="shared" si="516"/>
        <v>Anchor Trust</v>
      </c>
      <c r="J2880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881" spans="1:10" x14ac:dyDescent="0.35">
      <c r="A2881" t="str">
        <f t="shared" si="509"/>
        <v>MAR</v>
      </c>
      <c r="B2881" t="str">
        <f t="shared" si="515"/>
        <v>21</v>
      </c>
      <c r="C2881" t="str">
        <f t="shared" si="506"/>
        <v>2020/21</v>
      </c>
      <c r="E2881" t="str">
        <f t="shared" si="507"/>
        <v/>
      </c>
      <c r="F2881" t="s">
        <v>25</v>
      </c>
      <c r="G2881" t="s">
        <v>22</v>
      </c>
      <c r="H2881">
        <v>-3622.28</v>
      </c>
      <c r="I2881" t="str">
        <f t="shared" si="516"/>
        <v>Anchor Trust</v>
      </c>
      <c r="J2881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882" spans="1:10" x14ac:dyDescent="0.35">
      <c r="A2882" t="str">
        <f t="shared" si="509"/>
        <v>MAR</v>
      </c>
      <c r="B2882" t="str">
        <f t="shared" si="515"/>
        <v>21</v>
      </c>
      <c r="C2882" t="str">
        <f t="shared" ref="C2882:C2944" si="517">"2020/21"</f>
        <v>2020/21</v>
      </c>
      <c r="E2882" t="str">
        <f t="shared" ref="E2882:E2945" si="518">LEFT(D2882,2)</f>
        <v/>
      </c>
      <c r="F2882" t="s">
        <v>25</v>
      </c>
      <c r="G2882" t="s">
        <v>22</v>
      </c>
      <c r="H2882">
        <v>-3092.22</v>
      </c>
      <c r="I2882" t="str">
        <f t="shared" si="516"/>
        <v>Anchor Trust</v>
      </c>
      <c r="J2882" t="str">
        <f>"Residential - Income Residential Placements Customer And Client Receipts Income Residential &amp; Nursing Placements (Older People) Adult Health &amp; S"</f>
        <v>Residential - Income Residential Placements Customer And Client Receipts Income Residential &amp; Nursing Placements (Older People) Adult Health &amp; S</v>
      </c>
    </row>
    <row r="2883" spans="1:10" x14ac:dyDescent="0.35">
      <c r="A2883" t="str">
        <f t="shared" si="509"/>
        <v>MAR</v>
      </c>
      <c r="B2883" t="str">
        <f t="shared" si="515"/>
        <v>21</v>
      </c>
      <c r="C2883" t="str">
        <f t="shared" si="517"/>
        <v>2020/21</v>
      </c>
      <c r="D2883" t="str">
        <f>"SS FD 113782"</f>
        <v>SS FD 113782</v>
      </c>
      <c r="E2883" t="str">
        <f t="shared" si="518"/>
        <v>SS</v>
      </c>
      <c r="F2883" t="s">
        <v>25</v>
      </c>
      <c r="G2883" t="s">
        <v>22</v>
      </c>
      <c r="H2883">
        <v>148.32</v>
      </c>
      <c r="I2883" t="str">
        <f>"Carers Trust Mid Yorkshire"</f>
        <v>Carers Trust Mid Yorkshire</v>
      </c>
      <c r="J2883" t="str">
        <f>"independent Sector Home Care Voluntary Associations Agency And Contracted Services LD Home Care Adult Health &amp; Social Care"</f>
        <v>independent Sector Home Care Voluntary Associations Agency And Contracted Services LD Home Care Adult Health &amp; Social Care</v>
      </c>
    </row>
    <row r="2884" spans="1:10" x14ac:dyDescent="0.35">
      <c r="A2884" t="str">
        <f t="shared" si="509"/>
        <v>MAR</v>
      </c>
      <c r="B2884" t="str">
        <f t="shared" si="515"/>
        <v>21</v>
      </c>
      <c r="C2884" t="str">
        <f t="shared" si="517"/>
        <v>2020/21</v>
      </c>
      <c r="E2884" t="str">
        <f t="shared" si="518"/>
        <v/>
      </c>
      <c r="F2884" t="s">
        <v>25</v>
      </c>
      <c r="G2884" t="s">
        <v>22</v>
      </c>
      <c r="H2884">
        <v>21957.48</v>
      </c>
      <c r="I2884" t="str">
        <f>"The Mayfield Trust"</f>
        <v>The Mayfield Trust</v>
      </c>
      <c r="J2884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2885" spans="1:10" x14ac:dyDescent="0.35">
      <c r="A2885" t="str">
        <f t="shared" si="509"/>
        <v>MAR</v>
      </c>
      <c r="B2885" t="str">
        <f t="shared" si="515"/>
        <v>21</v>
      </c>
      <c r="C2885" t="str">
        <f t="shared" si="517"/>
        <v>2020/21</v>
      </c>
      <c r="E2885" t="str">
        <f t="shared" si="518"/>
        <v/>
      </c>
      <c r="F2885" t="s">
        <v>25</v>
      </c>
      <c r="G2885" t="s">
        <v>22</v>
      </c>
      <c r="H2885">
        <v>22484.46</v>
      </c>
      <c r="I2885" t="str">
        <f>"The Mayfield Trust"</f>
        <v>The Mayfield Trust</v>
      </c>
      <c r="J2885" t="str">
        <f>"Nursing Placements (Learning Disability)-Voluntary Home Voluntary Associations Agency And Contracted Services Residential &amp; Nursing Placements ("</f>
        <v>Nursing Placements (Learning Disability)-Voluntary Home Voluntary Associations Agency And Contracted Services Residential &amp; Nursing Placements (</v>
      </c>
    </row>
    <row r="2886" spans="1:10" x14ac:dyDescent="0.35">
      <c r="A2886" t="str">
        <f t="shared" si="509"/>
        <v>MAR</v>
      </c>
      <c r="B2886" t="str">
        <f t="shared" si="515"/>
        <v>21</v>
      </c>
      <c r="C2886" t="str">
        <f t="shared" si="517"/>
        <v>2020/21</v>
      </c>
      <c r="E2886" t="str">
        <f t="shared" si="518"/>
        <v/>
      </c>
      <c r="F2886" t="s">
        <v>25</v>
      </c>
      <c r="G2886" t="s">
        <v>22</v>
      </c>
      <c r="H2886">
        <v>2554.12</v>
      </c>
      <c r="I2886" t="str">
        <f t="shared" ref="I2886:I2895" si="519">"Bridgewood Trust Ltd"</f>
        <v>Bridgewood Trust Ltd</v>
      </c>
      <c r="J2886" t="str">
        <f t="shared" ref="J2886:J2897" si="520">"Residential Placements (Learning Disabilities)-Voluntary Home Voluntary Associations Agency And Contracted Services Residential &amp; Nursing Placem"</f>
        <v>Residential Placements (Learning Disabilities)-Voluntary Home Voluntary Associations Agency And Contracted Services Residential &amp; Nursing Placem</v>
      </c>
    </row>
    <row r="2887" spans="1:10" x14ac:dyDescent="0.35">
      <c r="A2887" t="str">
        <f t="shared" si="509"/>
        <v>MAR</v>
      </c>
      <c r="B2887" t="str">
        <f t="shared" si="515"/>
        <v>21</v>
      </c>
      <c r="C2887" t="str">
        <f t="shared" si="517"/>
        <v>2020/21</v>
      </c>
      <c r="E2887" t="str">
        <f t="shared" si="518"/>
        <v/>
      </c>
      <c r="F2887" t="s">
        <v>25</v>
      </c>
      <c r="G2887" t="s">
        <v>22</v>
      </c>
      <c r="H2887">
        <v>13424.16</v>
      </c>
      <c r="I2887" t="str">
        <f t="shared" si="519"/>
        <v>Bridgewood Trust Ltd</v>
      </c>
      <c r="J2887" t="str">
        <f t="shared" si="520"/>
        <v>Residential Placements (Learning Disabilities)-Voluntary Home Voluntary Associations Agency And Contracted Services Residential &amp; Nursing Placem</v>
      </c>
    </row>
    <row r="2888" spans="1:10" x14ac:dyDescent="0.35">
      <c r="A2888" t="str">
        <f t="shared" si="509"/>
        <v>MAR</v>
      </c>
      <c r="B2888" t="str">
        <f t="shared" si="515"/>
        <v>21</v>
      </c>
      <c r="C2888" t="str">
        <f t="shared" si="517"/>
        <v>2020/21</v>
      </c>
      <c r="E2888" t="str">
        <f t="shared" si="518"/>
        <v/>
      </c>
      <c r="F2888" t="s">
        <v>25</v>
      </c>
      <c r="G2888" t="s">
        <v>22</v>
      </c>
      <c r="H2888">
        <v>1849.96</v>
      </c>
      <c r="I2888" t="str">
        <f t="shared" si="519"/>
        <v>Bridgewood Trust Ltd</v>
      </c>
      <c r="J2888" t="str">
        <f t="shared" si="520"/>
        <v>Residential Placements (Learning Disabilities)-Voluntary Home Voluntary Associations Agency And Contracted Services Residential &amp; Nursing Placem</v>
      </c>
    </row>
    <row r="2889" spans="1:10" x14ac:dyDescent="0.35">
      <c r="A2889" t="str">
        <f t="shared" si="509"/>
        <v>MAR</v>
      </c>
      <c r="B2889" t="str">
        <f t="shared" si="515"/>
        <v>21</v>
      </c>
      <c r="C2889" t="str">
        <f t="shared" si="517"/>
        <v>2020/21</v>
      </c>
      <c r="E2889" t="str">
        <f t="shared" si="518"/>
        <v/>
      </c>
      <c r="F2889" t="s">
        <v>25</v>
      </c>
      <c r="G2889" t="s">
        <v>22</v>
      </c>
      <c r="H2889">
        <v>2138.2399999999998</v>
      </c>
      <c r="I2889" t="str">
        <f t="shared" si="519"/>
        <v>Bridgewood Trust Ltd</v>
      </c>
      <c r="J2889" t="str">
        <f t="shared" si="520"/>
        <v>Residential Placements (Learning Disabilities)-Voluntary Home Voluntary Associations Agency And Contracted Services Residential &amp; Nursing Placem</v>
      </c>
    </row>
    <row r="2890" spans="1:10" x14ac:dyDescent="0.35">
      <c r="A2890" t="str">
        <f t="shared" ref="A2890:A2944" si="521">"MAR"</f>
        <v>MAR</v>
      </c>
      <c r="B2890" t="str">
        <f t="shared" si="515"/>
        <v>21</v>
      </c>
      <c r="C2890" t="str">
        <f t="shared" si="517"/>
        <v>2020/21</v>
      </c>
      <c r="E2890" t="str">
        <f t="shared" si="518"/>
        <v/>
      </c>
      <c r="F2890" t="s">
        <v>25</v>
      </c>
      <c r="G2890" t="s">
        <v>22</v>
      </c>
      <c r="H2890">
        <v>27764.48</v>
      </c>
      <c r="I2890" t="str">
        <f t="shared" si="519"/>
        <v>Bridgewood Trust Ltd</v>
      </c>
      <c r="J2890" t="str">
        <f t="shared" si="520"/>
        <v>Residential Placements (Learning Disabilities)-Voluntary Home Voluntary Associations Agency And Contracted Services Residential &amp; Nursing Placem</v>
      </c>
    </row>
    <row r="2891" spans="1:10" x14ac:dyDescent="0.35">
      <c r="A2891" t="str">
        <f t="shared" si="521"/>
        <v>MAR</v>
      </c>
      <c r="B2891" t="str">
        <f t="shared" si="515"/>
        <v>21</v>
      </c>
      <c r="C2891" t="str">
        <f t="shared" si="517"/>
        <v>2020/21</v>
      </c>
      <c r="E2891" t="str">
        <f t="shared" si="518"/>
        <v/>
      </c>
      <c r="F2891" t="s">
        <v>25</v>
      </c>
      <c r="G2891" t="s">
        <v>22</v>
      </c>
      <c r="H2891">
        <v>2582.2199999999998</v>
      </c>
      <c r="I2891" t="str">
        <f t="shared" si="519"/>
        <v>Bridgewood Trust Ltd</v>
      </c>
      <c r="J2891" t="str">
        <f t="shared" si="520"/>
        <v>Residential Placements (Learning Disabilities)-Voluntary Home Voluntary Associations Agency And Contracted Services Residential &amp; Nursing Placem</v>
      </c>
    </row>
    <row r="2892" spans="1:10" x14ac:dyDescent="0.35">
      <c r="A2892" t="str">
        <f t="shared" si="521"/>
        <v>MAR</v>
      </c>
      <c r="B2892" t="str">
        <f t="shared" si="515"/>
        <v>21</v>
      </c>
      <c r="C2892" t="str">
        <f t="shared" si="517"/>
        <v>2020/21</v>
      </c>
      <c r="E2892" t="str">
        <f t="shared" si="518"/>
        <v/>
      </c>
      <c r="F2892" t="s">
        <v>25</v>
      </c>
      <c r="G2892" t="s">
        <v>22</v>
      </c>
      <c r="H2892">
        <v>13746.32</v>
      </c>
      <c r="I2892" t="str">
        <f t="shared" si="519"/>
        <v>Bridgewood Trust Ltd</v>
      </c>
      <c r="J2892" t="str">
        <f t="shared" si="520"/>
        <v>Residential Placements (Learning Disabilities)-Voluntary Home Voluntary Associations Agency And Contracted Services Residential &amp; Nursing Placem</v>
      </c>
    </row>
    <row r="2893" spans="1:10" x14ac:dyDescent="0.35">
      <c r="A2893" t="str">
        <f t="shared" si="521"/>
        <v>MAR</v>
      </c>
      <c r="B2893" t="str">
        <f t="shared" si="515"/>
        <v>21</v>
      </c>
      <c r="C2893" t="str">
        <f t="shared" si="517"/>
        <v>2020/21</v>
      </c>
      <c r="E2893" t="str">
        <f t="shared" si="518"/>
        <v/>
      </c>
      <c r="F2893" t="s">
        <v>25</v>
      </c>
      <c r="G2893" t="s">
        <v>22</v>
      </c>
      <c r="H2893">
        <v>1870.3</v>
      </c>
      <c r="I2893" t="str">
        <f t="shared" si="519"/>
        <v>Bridgewood Trust Ltd</v>
      </c>
      <c r="J2893" t="str">
        <f t="shared" si="520"/>
        <v>Residential Placements (Learning Disabilities)-Voluntary Home Voluntary Associations Agency And Contracted Services Residential &amp; Nursing Placem</v>
      </c>
    </row>
    <row r="2894" spans="1:10" x14ac:dyDescent="0.35">
      <c r="A2894" t="str">
        <f t="shared" si="521"/>
        <v>MAR</v>
      </c>
      <c r="B2894" t="str">
        <f t="shared" si="515"/>
        <v>21</v>
      </c>
      <c r="C2894" t="str">
        <f t="shared" si="517"/>
        <v>2020/21</v>
      </c>
      <c r="E2894" t="str">
        <f t="shared" si="518"/>
        <v/>
      </c>
      <c r="F2894" t="s">
        <v>25</v>
      </c>
      <c r="G2894" t="s">
        <v>22</v>
      </c>
      <c r="H2894">
        <v>2189.56</v>
      </c>
      <c r="I2894" t="str">
        <f t="shared" si="519"/>
        <v>Bridgewood Trust Ltd</v>
      </c>
      <c r="J2894" t="str">
        <f t="shared" si="520"/>
        <v>Residential Placements (Learning Disabilities)-Voluntary Home Voluntary Associations Agency And Contracted Services Residential &amp; Nursing Placem</v>
      </c>
    </row>
    <row r="2895" spans="1:10" x14ac:dyDescent="0.35">
      <c r="A2895" t="str">
        <f t="shared" si="521"/>
        <v>MAR</v>
      </c>
      <c r="B2895" t="str">
        <f t="shared" si="515"/>
        <v>21</v>
      </c>
      <c r="C2895" t="str">
        <f t="shared" si="517"/>
        <v>2020/21</v>
      </c>
      <c r="E2895" t="str">
        <f t="shared" si="518"/>
        <v/>
      </c>
      <c r="F2895" t="s">
        <v>25</v>
      </c>
      <c r="G2895" t="s">
        <v>22</v>
      </c>
      <c r="H2895">
        <v>28430.82</v>
      </c>
      <c r="I2895" t="str">
        <f t="shared" si="519"/>
        <v>Bridgewood Trust Ltd</v>
      </c>
      <c r="J2895" t="str">
        <f t="shared" si="520"/>
        <v>Residential Placements (Learning Disabilities)-Voluntary Home Voluntary Associations Agency And Contracted Services Residential &amp; Nursing Placem</v>
      </c>
    </row>
    <row r="2896" spans="1:10" x14ac:dyDescent="0.35">
      <c r="A2896" t="str">
        <f t="shared" si="521"/>
        <v>MAR</v>
      </c>
      <c r="B2896" t="str">
        <f t="shared" si="515"/>
        <v>21</v>
      </c>
      <c r="C2896" t="str">
        <f t="shared" si="517"/>
        <v>2020/21</v>
      </c>
      <c r="E2896" t="str">
        <f t="shared" si="518"/>
        <v/>
      </c>
      <c r="F2896" t="s">
        <v>25</v>
      </c>
      <c r="G2896" t="s">
        <v>22</v>
      </c>
      <c r="H2896">
        <v>6882.04</v>
      </c>
      <c r="I2896" t="str">
        <f>"The Mayfield Trust"</f>
        <v>The Mayfield Trust</v>
      </c>
      <c r="J2896" t="str">
        <f t="shared" si="520"/>
        <v>Residential Placements (Learning Disabilities)-Voluntary Home Voluntary Associations Agency And Contracted Services Residential &amp; Nursing Placem</v>
      </c>
    </row>
    <row r="2897" spans="1:10" x14ac:dyDescent="0.35">
      <c r="A2897" t="str">
        <f t="shared" si="521"/>
        <v>MAR</v>
      </c>
      <c r="B2897" t="str">
        <f t="shared" si="515"/>
        <v>21</v>
      </c>
      <c r="C2897" t="str">
        <f t="shared" si="517"/>
        <v>2020/21</v>
      </c>
      <c r="E2897" t="str">
        <f t="shared" si="518"/>
        <v/>
      </c>
      <c r="F2897" t="s">
        <v>25</v>
      </c>
      <c r="G2897" t="s">
        <v>22</v>
      </c>
      <c r="H2897">
        <v>7047.2</v>
      </c>
      <c r="I2897" t="str">
        <f>"The Mayfield Trust"</f>
        <v>The Mayfield Trust</v>
      </c>
      <c r="J2897" t="str">
        <f t="shared" si="520"/>
        <v>Residential Placements (Learning Disabilities)-Voluntary Home Voluntary Associations Agency And Contracted Services Residential &amp; Nursing Placem</v>
      </c>
    </row>
    <row r="2898" spans="1:10" x14ac:dyDescent="0.35">
      <c r="A2898" t="str">
        <f t="shared" si="521"/>
        <v>MAR</v>
      </c>
      <c r="B2898" t="str">
        <f t="shared" si="515"/>
        <v>21</v>
      </c>
      <c r="C2898" t="str">
        <f t="shared" si="517"/>
        <v>2020/21</v>
      </c>
      <c r="E2898" t="str">
        <f t="shared" si="518"/>
        <v/>
      </c>
      <c r="F2898" t="s">
        <v>25</v>
      </c>
      <c r="G2898" t="s">
        <v>22</v>
      </c>
      <c r="H2898">
        <v>-1269</v>
      </c>
      <c r="I2898" t="str">
        <f>"The Mayfield Trust"</f>
        <v>The Mayfield Trust</v>
      </c>
      <c r="J2898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2899" spans="1:10" x14ac:dyDescent="0.35">
      <c r="A2899" t="str">
        <f t="shared" si="521"/>
        <v>MAR</v>
      </c>
      <c r="B2899" t="str">
        <f t="shared" si="515"/>
        <v>21</v>
      </c>
      <c r="C2899" t="str">
        <f t="shared" si="517"/>
        <v>2020/21</v>
      </c>
      <c r="E2899" t="str">
        <f t="shared" si="518"/>
        <v/>
      </c>
      <c r="F2899" t="s">
        <v>25</v>
      </c>
      <c r="G2899" t="s">
        <v>22</v>
      </c>
      <c r="H2899">
        <v>-1270.95</v>
      </c>
      <c r="I2899" t="str">
        <f>"The Mayfield Trust"</f>
        <v>The Mayfield Trust</v>
      </c>
      <c r="J2899" t="str">
        <f>"Nursing - Income Nursing Placements Customer And Client Receipts Income Residential &amp; Nursing Placements (Learning Dis) Adult Health &amp; Social Ca"</f>
        <v>Nursing - Income Nursing Placements Customer And Client Receipts Income Residential &amp; Nursing Placements (Learning Dis) Adult Health &amp; Social Ca</v>
      </c>
    </row>
    <row r="2900" spans="1:10" x14ac:dyDescent="0.35">
      <c r="A2900" t="str">
        <f t="shared" si="521"/>
        <v>MAR</v>
      </c>
      <c r="B2900" t="str">
        <f t="shared" si="515"/>
        <v>21</v>
      </c>
      <c r="C2900" t="str">
        <f t="shared" si="517"/>
        <v>2020/21</v>
      </c>
      <c r="E2900" t="str">
        <f t="shared" si="518"/>
        <v/>
      </c>
      <c r="F2900" t="s">
        <v>25</v>
      </c>
      <c r="G2900" t="s">
        <v>22</v>
      </c>
      <c r="H2900">
        <v>-423</v>
      </c>
      <c r="I2900" t="str">
        <f t="shared" ref="I2900:I2909" si="522">"Bridgewood Trust Ltd"</f>
        <v>Bridgewood Trust Ltd</v>
      </c>
      <c r="J2900" t="str">
        <f t="shared" ref="J2900:J2911" si="523">"Residential - Income Residential Placements Customer And Client Receipts Income Residential &amp; Nursing Placements (Learning Dis) Adult Health &amp; S"</f>
        <v>Residential - Income Residential Placements Customer And Client Receipts Income Residential &amp; Nursing Placements (Learning Dis) Adult Health &amp; S</v>
      </c>
    </row>
    <row r="2901" spans="1:10" x14ac:dyDescent="0.35">
      <c r="A2901" t="str">
        <f t="shared" si="521"/>
        <v>MAR</v>
      </c>
      <c r="B2901" t="str">
        <f t="shared" si="515"/>
        <v>21</v>
      </c>
      <c r="C2901" t="str">
        <f t="shared" si="517"/>
        <v>2020/21</v>
      </c>
      <c r="E2901" t="str">
        <f t="shared" si="518"/>
        <v/>
      </c>
      <c r="F2901" t="s">
        <v>25</v>
      </c>
      <c r="G2901" t="s">
        <v>22</v>
      </c>
      <c r="H2901">
        <v>-1692</v>
      </c>
      <c r="I2901" t="str">
        <f t="shared" si="522"/>
        <v>Bridgewood Trust Ltd</v>
      </c>
      <c r="J2901" t="str">
        <f t="shared" si="523"/>
        <v>Residential - Income Residential Placements Customer And Client Receipts Income Residential &amp; Nursing Placements (Learning Dis) Adult Health &amp; S</v>
      </c>
    </row>
    <row r="2902" spans="1:10" x14ac:dyDescent="0.35">
      <c r="A2902" t="str">
        <f t="shared" si="521"/>
        <v>MAR</v>
      </c>
      <c r="B2902" t="str">
        <f t="shared" si="515"/>
        <v>21</v>
      </c>
      <c r="C2902" t="str">
        <f t="shared" si="517"/>
        <v>2020/21</v>
      </c>
      <c r="E2902" t="str">
        <f t="shared" si="518"/>
        <v/>
      </c>
      <c r="F2902" t="s">
        <v>25</v>
      </c>
      <c r="G2902" t="s">
        <v>22</v>
      </c>
      <c r="H2902">
        <v>-595.4</v>
      </c>
      <c r="I2902" t="str">
        <f t="shared" si="522"/>
        <v>Bridgewood Trust Ltd</v>
      </c>
      <c r="J2902" t="str">
        <f t="shared" si="523"/>
        <v>Residential - Income Residential Placements Customer And Client Receipts Income Residential &amp; Nursing Placements (Learning Dis) Adult Health &amp; S</v>
      </c>
    </row>
    <row r="2903" spans="1:10" x14ac:dyDescent="0.35">
      <c r="A2903" t="str">
        <f t="shared" si="521"/>
        <v>MAR</v>
      </c>
      <c r="B2903" t="str">
        <f t="shared" si="515"/>
        <v>21</v>
      </c>
      <c r="C2903" t="str">
        <f t="shared" si="517"/>
        <v>2020/21</v>
      </c>
      <c r="E2903" t="str">
        <f t="shared" si="518"/>
        <v/>
      </c>
      <c r="F2903" t="s">
        <v>25</v>
      </c>
      <c r="G2903" t="s">
        <v>22</v>
      </c>
      <c r="H2903">
        <v>-423</v>
      </c>
      <c r="I2903" t="str">
        <f t="shared" si="522"/>
        <v>Bridgewood Trust Ltd</v>
      </c>
      <c r="J2903" t="str">
        <f t="shared" si="523"/>
        <v>Residential - Income Residential Placements Customer And Client Receipts Income Residential &amp; Nursing Placements (Learning Dis) Adult Health &amp; S</v>
      </c>
    </row>
    <row r="2904" spans="1:10" x14ac:dyDescent="0.35">
      <c r="A2904" t="str">
        <f t="shared" si="521"/>
        <v>MAR</v>
      </c>
      <c r="B2904" t="str">
        <f t="shared" si="515"/>
        <v>21</v>
      </c>
      <c r="C2904" t="str">
        <f t="shared" si="517"/>
        <v>2020/21</v>
      </c>
      <c r="E2904" t="str">
        <f t="shared" si="518"/>
        <v/>
      </c>
      <c r="F2904" t="s">
        <v>25</v>
      </c>
      <c r="G2904" t="s">
        <v>22</v>
      </c>
      <c r="H2904">
        <v>-4483.72</v>
      </c>
      <c r="I2904" t="str">
        <f t="shared" si="522"/>
        <v>Bridgewood Trust Ltd</v>
      </c>
      <c r="J2904" t="str">
        <f t="shared" si="523"/>
        <v>Residential - Income Residential Placements Customer And Client Receipts Income Residential &amp; Nursing Placements (Learning Dis) Adult Health &amp; S</v>
      </c>
    </row>
    <row r="2905" spans="1:10" x14ac:dyDescent="0.35">
      <c r="A2905" t="str">
        <f t="shared" si="521"/>
        <v>MAR</v>
      </c>
      <c r="B2905" t="str">
        <f t="shared" si="515"/>
        <v>21</v>
      </c>
      <c r="C2905" t="str">
        <f t="shared" si="517"/>
        <v>2020/21</v>
      </c>
      <c r="E2905" t="str">
        <f t="shared" si="518"/>
        <v/>
      </c>
      <c r="F2905" t="s">
        <v>25</v>
      </c>
      <c r="G2905" t="s">
        <v>22</v>
      </c>
      <c r="H2905">
        <v>-423.65</v>
      </c>
      <c r="I2905" t="str">
        <f t="shared" si="522"/>
        <v>Bridgewood Trust Ltd</v>
      </c>
      <c r="J2905" t="str">
        <f t="shared" si="523"/>
        <v>Residential - Income Residential Placements Customer And Client Receipts Income Residential &amp; Nursing Placements (Learning Dis) Adult Health &amp; S</v>
      </c>
    </row>
    <row r="2906" spans="1:10" x14ac:dyDescent="0.35">
      <c r="A2906" t="str">
        <f t="shared" si="521"/>
        <v>MAR</v>
      </c>
      <c r="B2906" t="str">
        <f t="shared" si="515"/>
        <v>21</v>
      </c>
      <c r="C2906" t="str">
        <f t="shared" si="517"/>
        <v>2020/21</v>
      </c>
      <c r="E2906" t="str">
        <f t="shared" si="518"/>
        <v/>
      </c>
      <c r="F2906" t="s">
        <v>25</v>
      </c>
      <c r="G2906" t="s">
        <v>22</v>
      </c>
      <c r="H2906">
        <v>-1634.6</v>
      </c>
      <c r="I2906" t="str">
        <f t="shared" si="522"/>
        <v>Bridgewood Trust Ltd</v>
      </c>
      <c r="J2906" t="str">
        <f t="shared" si="523"/>
        <v>Residential - Income Residential Placements Customer And Client Receipts Income Residential &amp; Nursing Placements (Learning Dis) Adult Health &amp; S</v>
      </c>
    </row>
    <row r="2907" spans="1:10" x14ac:dyDescent="0.35">
      <c r="A2907" t="str">
        <f t="shared" si="521"/>
        <v>MAR</v>
      </c>
      <c r="B2907" t="str">
        <f t="shared" si="515"/>
        <v>21</v>
      </c>
      <c r="C2907" t="str">
        <f t="shared" si="517"/>
        <v>2020/21</v>
      </c>
      <c r="E2907" t="str">
        <f t="shared" si="518"/>
        <v/>
      </c>
      <c r="F2907" t="s">
        <v>25</v>
      </c>
      <c r="G2907" t="s">
        <v>22</v>
      </c>
      <c r="H2907">
        <v>-598.75</v>
      </c>
      <c r="I2907" t="str">
        <f t="shared" si="522"/>
        <v>Bridgewood Trust Ltd</v>
      </c>
      <c r="J2907" t="str">
        <f t="shared" si="523"/>
        <v>Residential - Income Residential Placements Customer And Client Receipts Income Residential &amp; Nursing Placements (Learning Dis) Adult Health &amp; S</v>
      </c>
    </row>
    <row r="2908" spans="1:10" x14ac:dyDescent="0.35">
      <c r="A2908" t="str">
        <f t="shared" si="521"/>
        <v>MAR</v>
      </c>
      <c r="B2908" t="str">
        <f t="shared" si="515"/>
        <v>21</v>
      </c>
      <c r="C2908" t="str">
        <f t="shared" si="517"/>
        <v>2020/21</v>
      </c>
      <c r="E2908" t="str">
        <f t="shared" si="518"/>
        <v/>
      </c>
      <c r="F2908" t="s">
        <v>25</v>
      </c>
      <c r="G2908" t="s">
        <v>22</v>
      </c>
      <c r="H2908">
        <v>-423.65</v>
      </c>
      <c r="I2908" t="str">
        <f t="shared" si="522"/>
        <v>Bridgewood Trust Ltd</v>
      </c>
      <c r="J2908" t="str">
        <f t="shared" si="523"/>
        <v>Residential - Income Residential Placements Customer And Client Receipts Income Residential &amp; Nursing Placements (Learning Dis) Adult Health &amp; S</v>
      </c>
    </row>
    <row r="2909" spans="1:10" x14ac:dyDescent="0.35">
      <c r="A2909" t="str">
        <f t="shared" si="521"/>
        <v>MAR</v>
      </c>
      <c r="B2909" t="str">
        <f t="shared" si="515"/>
        <v>21</v>
      </c>
      <c r="C2909" t="str">
        <f t="shared" si="517"/>
        <v>2020/21</v>
      </c>
      <c r="E2909" t="str">
        <f t="shared" si="518"/>
        <v/>
      </c>
      <c r="F2909" t="s">
        <v>25</v>
      </c>
      <c r="G2909" t="s">
        <v>22</v>
      </c>
      <c r="H2909">
        <v>-4497.8999999999996</v>
      </c>
      <c r="I2909" t="str">
        <f t="shared" si="522"/>
        <v>Bridgewood Trust Ltd</v>
      </c>
      <c r="J2909" t="str">
        <f t="shared" si="523"/>
        <v>Residential - Income Residential Placements Customer And Client Receipts Income Residential &amp; Nursing Placements (Learning Dis) Adult Health &amp; S</v>
      </c>
    </row>
    <row r="2910" spans="1:10" x14ac:dyDescent="0.35">
      <c r="A2910" t="str">
        <f t="shared" si="521"/>
        <v>MAR</v>
      </c>
      <c r="B2910" t="str">
        <f t="shared" si="515"/>
        <v>21</v>
      </c>
      <c r="C2910" t="str">
        <f t="shared" si="517"/>
        <v>2020/21</v>
      </c>
      <c r="E2910" t="str">
        <f t="shared" si="518"/>
        <v/>
      </c>
      <c r="F2910" t="s">
        <v>25</v>
      </c>
      <c r="G2910" t="s">
        <v>22</v>
      </c>
      <c r="H2910">
        <v>-459</v>
      </c>
      <c r="I2910" t="str">
        <f>"The Mayfield Trust"</f>
        <v>The Mayfield Trust</v>
      </c>
      <c r="J2910" t="str">
        <f t="shared" si="523"/>
        <v>Residential - Income Residential Placements Customer And Client Receipts Income Residential &amp; Nursing Placements (Learning Dis) Adult Health &amp; S</v>
      </c>
    </row>
    <row r="2911" spans="1:10" x14ac:dyDescent="0.35">
      <c r="A2911" t="str">
        <f t="shared" si="521"/>
        <v>MAR</v>
      </c>
      <c r="B2911" t="str">
        <f t="shared" si="515"/>
        <v>21</v>
      </c>
      <c r="C2911" t="str">
        <f t="shared" si="517"/>
        <v>2020/21</v>
      </c>
      <c r="E2911" t="str">
        <f t="shared" si="518"/>
        <v/>
      </c>
      <c r="F2911" t="s">
        <v>25</v>
      </c>
      <c r="G2911" t="s">
        <v>22</v>
      </c>
      <c r="H2911">
        <v>-459.65</v>
      </c>
      <c r="I2911" t="str">
        <f>"The Mayfield Trust"</f>
        <v>The Mayfield Trust</v>
      </c>
      <c r="J2911" t="str">
        <f t="shared" si="523"/>
        <v>Residential - Income Residential Placements Customer And Client Receipts Income Residential &amp; Nursing Placements (Learning Dis) Adult Health &amp; S</v>
      </c>
    </row>
    <row r="2912" spans="1:10" x14ac:dyDescent="0.35">
      <c r="A2912" t="str">
        <f t="shared" si="521"/>
        <v>MAR</v>
      </c>
      <c r="B2912" t="str">
        <f t="shared" si="515"/>
        <v>21</v>
      </c>
      <c r="C2912" t="str">
        <f t="shared" si="517"/>
        <v>2020/21</v>
      </c>
      <c r="D2912" t="str">
        <f>"SS AD 117790"</f>
        <v>SS AD 117790</v>
      </c>
      <c r="E2912" t="str">
        <f t="shared" si="518"/>
        <v>SS</v>
      </c>
      <c r="F2912" t="s">
        <v>25</v>
      </c>
      <c r="G2912" t="s">
        <v>22</v>
      </c>
      <c r="H2912">
        <v>738</v>
      </c>
      <c r="I2912" t="str">
        <f>"The Next Step Trust"</f>
        <v>The Next Step Trust</v>
      </c>
      <c r="J2912" t="str">
        <f>"Infection Control Fund Payment - Round 2 Private Contractors Agency And Contracted Services Commissioned Home Care (OP/PD) Adult Health &amp; Social"</f>
        <v>Infection Control Fund Payment - Round 2 Private Contractors Agency And Contracted Services Commissioned Home Care (OP/PD) Adult Health &amp; Social</v>
      </c>
    </row>
    <row r="2913" spans="1:10" x14ac:dyDescent="0.35">
      <c r="A2913" t="str">
        <f t="shared" si="521"/>
        <v>MAR</v>
      </c>
      <c r="B2913" t="str">
        <f t="shared" si="515"/>
        <v>21</v>
      </c>
      <c r="C2913" t="str">
        <f t="shared" si="517"/>
        <v>2020/21</v>
      </c>
      <c r="D2913" t="str">
        <f>"SS AD 117796"</f>
        <v>SS AD 117796</v>
      </c>
      <c r="E2913" t="str">
        <f t="shared" si="518"/>
        <v>SS</v>
      </c>
      <c r="F2913" t="s">
        <v>25</v>
      </c>
      <c r="G2913" t="s">
        <v>22</v>
      </c>
      <c r="H2913">
        <v>638</v>
      </c>
      <c r="I2913" t="str">
        <f>"The Next Step Trust"</f>
        <v>The Next Step Trust</v>
      </c>
      <c r="J2913" t="str">
        <f>"Covid 19 Rapid Testing Fund Private Contractors Agency And Contracted Services Commissioned Home Care (OP/PD) Adult Health &amp; Social Care"</f>
        <v>Covid 19 Rapid Testing Fund Private Contractors Agency And Contracted Services Commissioned Home Care (OP/PD) Adult Health &amp; Social Care</v>
      </c>
    </row>
    <row r="2914" spans="1:10" x14ac:dyDescent="0.35">
      <c r="A2914" t="str">
        <f t="shared" si="521"/>
        <v>MAR</v>
      </c>
      <c r="B2914" t="str">
        <f t="shared" si="515"/>
        <v>21</v>
      </c>
      <c r="C2914" t="str">
        <f t="shared" si="517"/>
        <v>2020/21</v>
      </c>
      <c r="D2914" t="str">
        <f>"SS CO 113260"</f>
        <v>SS CO 113260</v>
      </c>
      <c r="E2914" t="str">
        <f t="shared" si="518"/>
        <v>SS</v>
      </c>
      <c r="F2914" t="s">
        <v>25</v>
      </c>
      <c r="G2914" t="s">
        <v>22</v>
      </c>
      <c r="H2914">
        <v>15922.58</v>
      </c>
      <c r="I2914" t="str">
        <f>"Alzheimers Society"</f>
        <v>Alzheimers Society</v>
      </c>
      <c r="J2914" t="str">
        <f>"The Dementia Adviser Service - Alzheimer's Society Voluntary Associations Agency And Contracted Services Older People Commissioning Budget Adult"</f>
        <v>The Dementia Adviser Service - Alzheimer's Society Voluntary Associations Agency And Contracted Services Older People Commissioning Budget Adult</v>
      </c>
    </row>
    <row r="2915" spans="1:10" x14ac:dyDescent="0.35">
      <c r="A2915" t="str">
        <f t="shared" si="521"/>
        <v>MAR</v>
      </c>
      <c r="B2915" t="str">
        <f t="shared" si="515"/>
        <v>21</v>
      </c>
      <c r="C2915" t="str">
        <f t="shared" si="517"/>
        <v>2020/21</v>
      </c>
      <c r="D2915" t="str">
        <f>"SS CO 113850"</f>
        <v>SS CO 113850</v>
      </c>
      <c r="E2915" t="str">
        <f t="shared" si="518"/>
        <v>SS</v>
      </c>
      <c r="F2915" t="s">
        <v>25</v>
      </c>
      <c r="G2915" t="s">
        <v>22</v>
      </c>
      <c r="H2915">
        <v>18016.669999999998</v>
      </c>
      <c r="I2915" t="str">
        <f>"Cloverleaf Advocacy 2000 Ltd"</f>
        <v>Cloverleaf Advocacy 2000 Ltd</v>
      </c>
      <c r="J2915" t="str">
        <f>"Advocacy for Adults Voluntary Associations Agency And Contracted Services Older People Commissioning Budget Adult Health &amp; Social Care"</f>
        <v>Advocacy for Adults Voluntary Associations Agency And Contracted Services Older People Commissioning Budget Adult Health &amp; Social Care</v>
      </c>
    </row>
    <row r="2916" spans="1:10" x14ac:dyDescent="0.35">
      <c r="A2916" t="str">
        <f t="shared" si="521"/>
        <v>MAR</v>
      </c>
      <c r="B2916" t="str">
        <f t="shared" si="515"/>
        <v>21</v>
      </c>
      <c r="C2916" t="str">
        <f t="shared" si="517"/>
        <v>2020/21</v>
      </c>
      <c r="D2916" t="str">
        <f t="shared" ref="D2916:D2932" si="524">"SS CO 113368"</f>
        <v>SS CO 113368</v>
      </c>
      <c r="E2916" t="str">
        <f t="shared" si="518"/>
        <v>SS</v>
      </c>
      <c r="F2916" t="s">
        <v>25</v>
      </c>
      <c r="G2916" t="s">
        <v>22</v>
      </c>
      <c r="H2916">
        <v>-134.32</v>
      </c>
      <c r="I2916" t="str">
        <f t="shared" ref="I2916:I2932" si="525">"Anchor Trust"</f>
        <v>Anchor Trust</v>
      </c>
      <c r="J2916" t="str">
        <f t="shared" ref="J2916:J2932" si="526">"Transitional Residential Beds Contract Private Contractors Agency And Contracted Services Older People Commissioning Budget Adult Health &amp; Socia"</f>
        <v>Transitional Residential Beds Contract Private Contractors Agency And Contracted Services Older People Commissioning Budget Adult Health &amp; Socia</v>
      </c>
    </row>
    <row r="2917" spans="1:10" x14ac:dyDescent="0.35">
      <c r="A2917" t="str">
        <f t="shared" si="521"/>
        <v>MAR</v>
      </c>
      <c r="B2917" t="str">
        <f t="shared" si="515"/>
        <v>21</v>
      </c>
      <c r="C2917" t="str">
        <f t="shared" si="517"/>
        <v>2020/21</v>
      </c>
      <c r="D2917" t="str">
        <f t="shared" si="524"/>
        <v>SS CO 113368</v>
      </c>
      <c r="E2917" t="str">
        <f t="shared" si="518"/>
        <v>SS</v>
      </c>
      <c r="F2917" t="s">
        <v>25</v>
      </c>
      <c r="G2917" t="s">
        <v>22</v>
      </c>
      <c r="H2917">
        <v>2190.3200000000002</v>
      </c>
      <c r="I2917" t="str">
        <f t="shared" si="525"/>
        <v>Anchor Trust</v>
      </c>
      <c r="J2917" t="str">
        <f t="shared" si="526"/>
        <v>Transitional Residential Beds Contract Private Contractors Agency And Contracted Services Older People Commissioning Budget Adult Health &amp; Socia</v>
      </c>
    </row>
    <row r="2918" spans="1:10" x14ac:dyDescent="0.35">
      <c r="A2918" t="str">
        <f t="shared" si="521"/>
        <v>MAR</v>
      </c>
      <c r="B2918" t="str">
        <f t="shared" si="515"/>
        <v>21</v>
      </c>
      <c r="C2918" t="str">
        <f t="shared" si="517"/>
        <v>2020/21</v>
      </c>
      <c r="D2918" t="str">
        <f t="shared" si="524"/>
        <v>SS CO 113368</v>
      </c>
      <c r="E2918" t="str">
        <f t="shared" si="518"/>
        <v>SS</v>
      </c>
      <c r="F2918" t="s">
        <v>25</v>
      </c>
      <c r="G2918" t="s">
        <v>22</v>
      </c>
      <c r="H2918">
        <v>-107.01</v>
      </c>
      <c r="I2918" t="str">
        <f t="shared" si="525"/>
        <v>Anchor Trust</v>
      </c>
      <c r="J2918" t="str">
        <f t="shared" si="526"/>
        <v>Transitional Residential Beds Contract Private Contractors Agency And Contracted Services Older People Commissioning Budget Adult Health &amp; Socia</v>
      </c>
    </row>
    <row r="2919" spans="1:10" x14ac:dyDescent="0.35">
      <c r="A2919" t="str">
        <f t="shared" si="521"/>
        <v>MAR</v>
      </c>
      <c r="B2919" t="str">
        <f t="shared" si="515"/>
        <v>21</v>
      </c>
      <c r="C2919" t="str">
        <f t="shared" si="517"/>
        <v>2020/21</v>
      </c>
      <c r="D2919" t="str">
        <f t="shared" si="524"/>
        <v>SS CO 113368</v>
      </c>
      <c r="E2919" t="str">
        <f t="shared" si="518"/>
        <v>SS</v>
      </c>
      <c r="F2919" t="s">
        <v>25</v>
      </c>
      <c r="G2919" t="s">
        <v>22</v>
      </c>
      <c r="H2919">
        <v>547.58000000000004</v>
      </c>
      <c r="I2919" t="str">
        <f t="shared" si="525"/>
        <v>Anchor Trust</v>
      </c>
      <c r="J2919" t="str">
        <f t="shared" si="526"/>
        <v>Transitional Residential Beds Contract Private Contractors Agency And Contracted Services Older People Commissioning Budget Adult Health &amp; Socia</v>
      </c>
    </row>
    <row r="2920" spans="1:10" x14ac:dyDescent="0.35">
      <c r="A2920" t="str">
        <f t="shared" si="521"/>
        <v>MAR</v>
      </c>
      <c r="B2920" t="str">
        <f t="shared" si="515"/>
        <v>21</v>
      </c>
      <c r="C2920" t="str">
        <f t="shared" si="517"/>
        <v>2020/21</v>
      </c>
      <c r="D2920" t="str">
        <f t="shared" si="524"/>
        <v>SS CO 113368</v>
      </c>
      <c r="E2920" t="str">
        <f t="shared" si="518"/>
        <v>SS</v>
      </c>
      <c r="F2920" t="s">
        <v>25</v>
      </c>
      <c r="G2920" t="s">
        <v>22</v>
      </c>
      <c r="H2920">
        <v>547.58000000000004</v>
      </c>
      <c r="I2920" t="str">
        <f t="shared" si="525"/>
        <v>Anchor Trust</v>
      </c>
      <c r="J2920" t="str">
        <f t="shared" si="526"/>
        <v>Transitional Residential Beds Contract Private Contractors Agency And Contracted Services Older People Commissioning Budget Adult Health &amp; Socia</v>
      </c>
    </row>
    <row r="2921" spans="1:10" x14ac:dyDescent="0.35">
      <c r="A2921" t="str">
        <f t="shared" si="521"/>
        <v>MAR</v>
      </c>
      <c r="B2921" t="str">
        <f t="shared" si="515"/>
        <v>21</v>
      </c>
      <c r="C2921" t="str">
        <f t="shared" si="517"/>
        <v>2020/21</v>
      </c>
      <c r="D2921" t="str">
        <f t="shared" si="524"/>
        <v>SS CO 113368</v>
      </c>
      <c r="E2921" t="str">
        <f t="shared" si="518"/>
        <v>SS</v>
      </c>
      <c r="F2921" t="s">
        <v>25</v>
      </c>
      <c r="G2921" t="s">
        <v>22</v>
      </c>
      <c r="H2921">
        <v>3285.48</v>
      </c>
      <c r="I2921" t="str">
        <f t="shared" si="525"/>
        <v>Anchor Trust</v>
      </c>
      <c r="J2921" t="str">
        <f t="shared" si="526"/>
        <v>Transitional Residential Beds Contract Private Contractors Agency And Contracted Services Older People Commissioning Budget Adult Health &amp; Socia</v>
      </c>
    </row>
    <row r="2922" spans="1:10" x14ac:dyDescent="0.35">
      <c r="A2922" t="str">
        <f t="shared" si="521"/>
        <v>MAR</v>
      </c>
      <c r="B2922" t="str">
        <f t="shared" si="515"/>
        <v>21</v>
      </c>
      <c r="C2922" t="str">
        <f t="shared" si="517"/>
        <v>2020/21</v>
      </c>
      <c r="D2922" t="str">
        <f t="shared" si="524"/>
        <v>SS CO 113368</v>
      </c>
      <c r="E2922" t="str">
        <f t="shared" si="518"/>
        <v>SS</v>
      </c>
      <c r="F2922" t="s">
        <v>25</v>
      </c>
      <c r="G2922" t="s">
        <v>22</v>
      </c>
      <c r="H2922">
        <v>1095.1600000000001</v>
      </c>
      <c r="I2922" t="str">
        <f t="shared" si="525"/>
        <v>Anchor Trust</v>
      </c>
      <c r="J2922" t="str">
        <f t="shared" si="526"/>
        <v>Transitional Residential Beds Contract Private Contractors Agency And Contracted Services Older People Commissioning Budget Adult Health &amp; Socia</v>
      </c>
    </row>
    <row r="2923" spans="1:10" x14ac:dyDescent="0.35">
      <c r="A2923" t="str">
        <f t="shared" si="521"/>
        <v>MAR</v>
      </c>
      <c r="B2923" t="str">
        <f t="shared" si="515"/>
        <v>21</v>
      </c>
      <c r="C2923" t="str">
        <f t="shared" si="517"/>
        <v>2020/21</v>
      </c>
      <c r="D2923" t="str">
        <f t="shared" si="524"/>
        <v>SS CO 113368</v>
      </c>
      <c r="E2923" t="str">
        <f t="shared" si="518"/>
        <v>SS</v>
      </c>
      <c r="F2923" t="s">
        <v>25</v>
      </c>
      <c r="G2923" t="s">
        <v>22</v>
      </c>
      <c r="H2923">
        <v>1408.06</v>
      </c>
      <c r="I2923" t="str">
        <f t="shared" si="525"/>
        <v>Anchor Trust</v>
      </c>
      <c r="J2923" t="str">
        <f t="shared" si="526"/>
        <v>Transitional Residential Beds Contract Private Contractors Agency And Contracted Services Older People Commissioning Budget Adult Health &amp; Socia</v>
      </c>
    </row>
    <row r="2924" spans="1:10" x14ac:dyDescent="0.35">
      <c r="A2924" t="str">
        <f t="shared" si="521"/>
        <v>MAR</v>
      </c>
      <c r="B2924" t="str">
        <f t="shared" si="515"/>
        <v>21</v>
      </c>
      <c r="C2924" t="str">
        <f t="shared" si="517"/>
        <v>2020/21</v>
      </c>
      <c r="D2924" t="str">
        <f t="shared" si="524"/>
        <v>SS CO 113368</v>
      </c>
      <c r="E2924" t="str">
        <f t="shared" si="518"/>
        <v>SS</v>
      </c>
      <c r="F2924" t="s">
        <v>25</v>
      </c>
      <c r="G2924" t="s">
        <v>22</v>
      </c>
      <c r="H2924">
        <v>-545.58000000000004</v>
      </c>
      <c r="I2924" t="str">
        <f t="shared" si="525"/>
        <v>Anchor Trust</v>
      </c>
      <c r="J2924" t="str">
        <f t="shared" si="526"/>
        <v>Transitional Residential Beds Contract Private Contractors Agency And Contracted Services Older People Commissioning Budget Adult Health &amp; Socia</v>
      </c>
    </row>
    <row r="2925" spans="1:10" x14ac:dyDescent="0.35">
      <c r="A2925" t="str">
        <f t="shared" si="521"/>
        <v>MAR</v>
      </c>
      <c r="B2925" t="str">
        <f t="shared" si="515"/>
        <v>21</v>
      </c>
      <c r="C2925" t="str">
        <f t="shared" si="517"/>
        <v>2020/21</v>
      </c>
      <c r="D2925" t="str">
        <f t="shared" si="524"/>
        <v>SS CO 113368</v>
      </c>
      <c r="E2925" t="str">
        <f t="shared" si="518"/>
        <v>SS</v>
      </c>
      <c r="F2925" t="s">
        <v>25</v>
      </c>
      <c r="G2925" t="s">
        <v>22</v>
      </c>
      <c r="H2925">
        <v>1642.74</v>
      </c>
      <c r="I2925" t="str">
        <f t="shared" si="525"/>
        <v>Anchor Trust</v>
      </c>
      <c r="J2925" t="str">
        <f t="shared" si="526"/>
        <v>Transitional Residential Beds Contract Private Contractors Agency And Contracted Services Older People Commissioning Budget Adult Health &amp; Socia</v>
      </c>
    </row>
    <row r="2926" spans="1:10" x14ac:dyDescent="0.35">
      <c r="A2926" t="str">
        <f t="shared" si="521"/>
        <v>MAR</v>
      </c>
      <c r="B2926" t="str">
        <f t="shared" si="515"/>
        <v>21</v>
      </c>
      <c r="C2926" t="str">
        <f t="shared" si="517"/>
        <v>2020/21</v>
      </c>
      <c r="D2926" t="str">
        <f t="shared" si="524"/>
        <v>SS CO 113368</v>
      </c>
      <c r="E2926" t="str">
        <f t="shared" si="518"/>
        <v>SS</v>
      </c>
      <c r="F2926" t="s">
        <v>25</v>
      </c>
      <c r="G2926" t="s">
        <v>22</v>
      </c>
      <c r="H2926">
        <v>6570.96</v>
      </c>
      <c r="I2926" t="str">
        <f t="shared" si="525"/>
        <v>Anchor Trust</v>
      </c>
      <c r="J2926" t="str">
        <f t="shared" si="526"/>
        <v>Transitional Residential Beds Contract Private Contractors Agency And Contracted Services Older People Commissioning Budget Adult Health &amp; Socia</v>
      </c>
    </row>
    <row r="2927" spans="1:10" x14ac:dyDescent="0.35">
      <c r="A2927" t="str">
        <f t="shared" si="521"/>
        <v>MAR</v>
      </c>
      <c r="B2927" t="str">
        <f t="shared" si="515"/>
        <v>21</v>
      </c>
      <c r="C2927" t="str">
        <f t="shared" si="517"/>
        <v>2020/21</v>
      </c>
      <c r="D2927" t="str">
        <f t="shared" si="524"/>
        <v>SS CO 113368</v>
      </c>
      <c r="E2927" t="str">
        <f t="shared" si="518"/>
        <v>SS</v>
      </c>
      <c r="F2927" t="s">
        <v>25</v>
      </c>
      <c r="G2927" t="s">
        <v>22</v>
      </c>
      <c r="H2927">
        <v>-0.19</v>
      </c>
      <c r="I2927" t="str">
        <f t="shared" si="525"/>
        <v>Anchor Trust</v>
      </c>
      <c r="J2927" t="str">
        <f t="shared" si="526"/>
        <v>Transitional Residential Beds Contract Private Contractors Agency And Contracted Services Older People Commissioning Budget Adult Health &amp; Socia</v>
      </c>
    </row>
    <row r="2928" spans="1:10" x14ac:dyDescent="0.35">
      <c r="A2928" t="str">
        <f t="shared" si="521"/>
        <v>MAR</v>
      </c>
      <c r="B2928" t="str">
        <f t="shared" si="515"/>
        <v>21</v>
      </c>
      <c r="C2928" t="str">
        <f t="shared" si="517"/>
        <v>2020/21</v>
      </c>
      <c r="D2928" t="str">
        <f t="shared" si="524"/>
        <v>SS CO 113368</v>
      </c>
      <c r="E2928" t="str">
        <f t="shared" si="518"/>
        <v>SS</v>
      </c>
      <c r="F2928" t="s">
        <v>25</v>
      </c>
      <c r="G2928" t="s">
        <v>22</v>
      </c>
      <c r="H2928">
        <v>3285.48</v>
      </c>
      <c r="I2928" t="str">
        <f t="shared" si="525"/>
        <v>Anchor Trust</v>
      </c>
      <c r="J2928" t="str">
        <f t="shared" si="526"/>
        <v>Transitional Residential Beds Contract Private Contractors Agency And Contracted Services Older People Commissioning Budget Adult Health &amp; Socia</v>
      </c>
    </row>
    <row r="2929" spans="1:10" x14ac:dyDescent="0.35">
      <c r="A2929" t="str">
        <f t="shared" si="521"/>
        <v>MAR</v>
      </c>
      <c r="B2929" t="str">
        <f t="shared" si="515"/>
        <v>21</v>
      </c>
      <c r="C2929" t="str">
        <f t="shared" si="517"/>
        <v>2020/21</v>
      </c>
      <c r="D2929" t="str">
        <f t="shared" si="524"/>
        <v>SS CO 113368</v>
      </c>
      <c r="E2929" t="str">
        <f t="shared" si="518"/>
        <v>SS</v>
      </c>
      <c r="F2929" t="s">
        <v>25</v>
      </c>
      <c r="G2929" t="s">
        <v>22</v>
      </c>
      <c r="H2929">
        <v>-400.28</v>
      </c>
      <c r="I2929" t="str">
        <f t="shared" si="525"/>
        <v>Anchor Trust</v>
      </c>
      <c r="J2929" t="str">
        <f t="shared" si="526"/>
        <v>Transitional Residential Beds Contract Private Contractors Agency And Contracted Services Older People Commissioning Budget Adult Health &amp; Socia</v>
      </c>
    </row>
    <row r="2930" spans="1:10" x14ac:dyDescent="0.35">
      <c r="A2930" t="str">
        <f t="shared" si="521"/>
        <v>MAR</v>
      </c>
      <c r="B2930" t="str">
        <f t="shared" si="515"/>
        <v>21</v>
      </c>
      <c r="C2930" t="str">
        <f t="shared" si="517"/>
        <v>2020/21</v>
      </c>
      <c r="D2930" t="str">
        <f t="shared" si="524"/>
        <v>SS CO 113368</v>
      </c>
      <c r="E2930" t="str">
        <f t="shared" si="518"/>
        <v>SS</v>
      </c>
      <c r="F2930" t="s">
        <v>25</v>
      </c>
      <c r="G2930" t="s">
        <v>22</v>
      </c>
      <c r="H2930">
        <v>547.58000000000004</v>
      </c>
      <c r="I2930" t="str">
        <f t="shared" si="525"/>
        <v>Anchor Trust</v>
      </c>
      <c r="J2930" t="str">
        <f t="shared" si="526"/>
        <v>Transitional Residential Beds Contract Private Contractors Agency And Contracted Services Older People Commissioning Budget Adult Health &amp; Socia</v>
      </c>
    </row>
    <row r="2931" spans="1:10" x14ac:dyDescent="0.35">
      <c r="A2931" t="str">
        <f t="shared" si="521"/>
        <v>MAR</v>
      </c>
      <c r="B2931" t="str">
        <f t="shared" ref="B2931:B2944" si="527">"21"</f>
        <v>21</v>
      </c>
      <c r="C2931" t="str">
        <f t="shared" si="517"/>
        <v>2020/21</v>
      </c>
      <c r="D2931" t="str">
        <f t="shared" si="524"/>
        <v>SS CO 113368</v>
      </c>
      <c r="E2931" t="str">
        <f t="shared" si="518"/>
        <v>SS</v>
      </c>
      <c r="F2931" t="s">
        <v>25</v>
      </c>
      <c r="G2931" t="s">
        <v>22</v>
      </c>
      <c r="H2931">
        <v>1642.74</v>
      </c>
      <c r="I2931" t="str">
        <f t="shared" si="525"/>
        <v>Anchor Trust</v>
      </c>
      <c r="J2931" t="str">
        <f t="shared" si="526"/>
        <v>Transitional Residential Beds Contract Private Contractors Agency And Contracted Services Older People Commissioning Budget Adult Health &amp; Socia</v>
      </c>
    </row>
    <row r="2932" spans="1:10" x14ac:dyDescent="0.35">
      <c r="A2932" t="str">
        <f t="shared" si="521"/>
        <v>MAR</v>
      </c>
      <c r="B2932" t="str">
        <f t="shared" si="527"/>
        <v>21</v>
      </c>
      <c r="C2932" t="str">
        <f t="shared" si="517"/>
        <v>2020/21</v>
      </c>
      <c r="D2932" t="str">
        <f t="shared" si="524"/>
        <v>SS CO 113368</v>
      </c>
      <c r="E2932" t="str">
        <f t="shared" si="518"/>
        <v>SS</v>
      </c>
      <c r="F2932" t="s">
        <v>25</v>
      </c>
      <c r="G2932" t="s">
        <v>22</v>
      </c>
      <c r="H2932">
        <v>135.49</v>
      </c>
      <c r="I2932" t="str">
        <f t="shared" si="525"/>
        <v>Anchor Trust</v>
      </c>
      <c r="J2932" t="str">
        <f t="shared" si="526"/>
        <v>Transitional Residential Beds Contract Private Contractors Agency And Contracted Services Older People Commissioning Budget Adult Health &amp; Socia</v>
      </c>
    </row>
    <row r="2933" spans="1:10" x14ac:dyDescent="0.35">
      <c r="A2933" t="str">
        <f t="shared" si="521"/>
        <v>MAR</v>
      </c>
      <c r="B2933" t="str">
        <f t="shared" si="527"/>
        <v>21</v>
      </c>
      <c r="C2933" t="str">
        <f t="shared" si="517"/>
        <v>2020/21</v>
      </c>
      <c r="D2933" t="str">
        <f>"SS LN 117149"</f>
        <v>SS LN 117149</v>
      </c>
      <c r="E2933" t="str">
        <f t="shared" si="518"/>
        <v>SS</v>
      </c>
      <c r="F2933" t="s">
        <v>25</v>
      </c>
      <c r="G2933" t="s">
        <v>22</v>
      </c>
      <c r="H2933">
        <v>2606</v>
      </c>
      <c r="I2933" t="str">
        <f>"Age concern Todmorden"</f>
        <v>Age concern Todmorden</v>
      </c>
      <c r="J2933" t="str">
        <f>"Payments to Luncheon Clubs Transfer Payments - Social Services Clients Transfer Payments Older People Commissioning Budget Adult Health &amp; Social"</f>
        <v>Payments to Luncheon Clubs Transfer Payments - Social Services Clients Transfer Payments Older People Commissioning Budget Adult Health &amp; Social</v>
      </c>
    </row>
    <row r="2934" spans="1:10" x14ac:dyDescent="0.35">
      <c r="A2934" t="str">
        <f t="shared" si="521"/>
        <v>MAR</v>
      </c>
      <c r="B2934" t="str">
        <f t="shared" si="527"/>
        <v>21</v>
      </c>
      <c r="C2934" t="str">
        <f t="shared" si="517"/>
        <v>2020/21</v>
      </c>
      <c r="D2934" t="str">
        <f>"SS LN 117150"</f>
        <v>SS LN 117150</v>
      </c>
      <c r="E2934" t="str">
        <f t="shared" si="518"/>
        <v>SS</v>
      </c>
      <c r="F2934" t="s">
        <v>25</v>
      </c>
      <c r="G2934" t="s">
        <v>22</v>
      </c>
      <c r="H2934">
        <v>1770</v>
      </c>
      <c r="I2934" t="str">
        <f>"Maurice Jagger Centre"</f>
        <v>Maurice Jagger Centre</v>
      </c>
      <c r="J2934" t="str">
        <f>"Payments to Luncheon Clubs Transfer Payments - Social Services Clients Transfer Payments Older People Commissioning Budget Adult Health &amp; Social"</f>
        <v>Payments to Luncheon Clubs Transfer Payments - Social Services Clients Transfer Payments Older People Commissioning Budget Adult Health &amp; Social</v>
      </c>
    </row>
    <row r="2935" spans="1:10" x14ac:dyDescent="0.35">
      <c r="A2935" t="str">
        <f t="shared" si="521"/>
        <v>MAR</v>
      </c>
      <c r="B2935" t="str">
        <f t="shared" si="527"/>
        <v>21</v>
      </c>
      <c r="C2935" t="str">
        <f t="shared" si="517"/>
        <v>2020/21</v>
      </c>
      <c r="D2935" t="str">
        <f>"SS LN 117151"</f>
        <v>SS LN 117151</v>
      </c>
      <c r="E2935" t="str">
        <f t="shared" si="518"/>
        <v>SS</v>
      </c>
      <c r="F2935" t="s">
        <v>25</v>
      </c>
      <c r="G2935" t="s">
        <v>22</v>
      </c>
      <c r="H2935">
        <v>732</v>
      </c>
      <c r="I2935" t="str">
        <f>"Mount Tabor Luncheon Club"</f>
        <v>Mount Tabor Luncheon Club</v>
      </c>
      <c r="J2935" t="str">
        <f>"Payments to Luncheon Clubs Transfer Payments - Social Services Clients Transfer Payments Older People Commissioning Budget Adult Health &amp; Social"</f>
        <v>Payments to Luncheon Clubs Transfer Payments - Social Services Clients Transfer Payments Older People Commissioning Budget Adult Health &amp; Social</v>
      </c>
    </row>
    <row r="2936" spans="1:10" x14ac:dyDescent="0.35">
      <c r="A2936" t="str">
        <f t="shared" si="521"/>
        <v>MAR</v>
      </c>
      <c r="B2936" t="str">
        <f t="shared" si="527"/>
        <v>21</v>
      </c>
      <c r="C2936" t="str">
        <f t="shared" si="517"/>
        <v>2020/21</v>
      </c>
      <c r="D2936" t="str">
        <f>"SS LN 117148"</f>
        <v>SS LN 117148</v>
      </c>
      <c r="E2936" t="str">
        <f t="shared" si="518"/>
        <v>SS</v>
      </c>
      <c r="F2936" t="s">
        <v>25</v>
      </c>
      <c r="G2936" t="s">
        <v>22</v>
      </c>
      <c r="H2936">
        <v>1950</v>
      </c>
      <c r="I2936" t="str">
        <f>"The Space @ Field Lane Centre"</f>
        <v>The Space @ Field Lane Centre</v>
      </c>
      <c r="J2936" t="str">
        <f>"Payments to Luncheon Clubs Transfer Payments - Social Services Clients Transfer Payments Older People Commissioning Budget Adult Health &amp; Social"</f>
        <v>Payments to Luncheon Clubs Transfer Payments - Social Services Clients Transfer Payments Older People Commissioning Budget Adult Health &amp; Social</v>
      </c>
    </row>
    <row r="2937" spans="1:10" x14ac:dyDescent="0.35">
      <c r="A2937" t="str">
        <f t="shared" si="521"/>
        <v>MAR</v>
      </c>
      <c r="B2937" t="str">
        <f t="shared" si="527"/>
        <v>21</v>
      </c>
      <c r="C2937" t="str">
        <f t="shared" si="517"/>
        <v>2020/21</v>
      </c>
      <c r="D2937" t="str">
        <f>"SS LN 117387"</f>
        <v>SS LN 117387</v>
      </c>
      <c r="E2937" t="str">
        <f t="shared" si="518"/>
        <v>SS</v>
      </c>
      <c r="F2937" t="s">
        <v>25</v>
      </c>
      <c r="G2937" t="s">
        <v>22</v>
      </c>
      <c r="H2937">
        <v>1520</v>
      </c>
      <c r="I2937" t="str">
        <f>"Women's Activity Centre (WAC) CIC"</f>
        <v>Women's Activity Centre (WAC) CIC</v>
      </c>
      <c r="J2937" t="str">
        <f>"Payments to Luncheon Clubs Transfer Payments - Social Services Clients Transfer Payments Older People Commissioning Budget Adult Health &amp; Social"</f>
        <v>Payments to Luncheon Clubs Transfer Payments - Social Services Clients Transfer Payments Older People Commissioning Budget Adult Health &amp; Social</v>
      </c>
    </row>
    <row r="2938" spans="1:10" x14ac:dyDescent="0.35">
      <c r="A2938" t="str">
        <f t="shared" si="521"/>
        <v>MAR</v>
      </c>
      <c r="B2938" t="str">
        <f t="shared" si="527"/>
        <v>21</v>
      </c>
      <c r="C2938" t="str">
        <f t="shared" si="517"/>
        <v>2020/21</v>
      </c>
      <c r="D2938" t="str">
        <f>"SS CO 113367"</f>
        <v>SS CO 113367</v>
      </c>
      <c r="E2938" t="str">
        <f t="shared" si="518"/>
        <v>SS</v>
      </c>
      <c r="F2938" t="s">
        <v>25</v>
      </c>
      <c r="G2938" t="s">
        <v>22</v>
      </c>
      <c r="H2938">
        <v>5708.2</v>
      </c>
      <c r="I2938" t="str">
        <f>"Cloverleaf Advocacy 2000 Ltd"</f>
        <v>Cloverleaf Advocacy 2000 Ltd</v>
      </c>
      <c r="J2938" t="str">
        <f>"LeaD The Way (formerly Calder Hub) Services Supplies And Services LD Commissioning Budget Adult Health &amp; Social Care"</f>
        <v>LeaD The Way (formerly Calder Hub) Services Supplies And Services LD Commissioning Budget Adult Health &amp; Social Care</v>
      </c>
    </row>
    <row r="2939" spans="1:10" x14ac:dyDescent="0.35">
      <c r="A2939" t="str">
        <f t="shared" si="521"/>
        <v>MAR</v>
      </c>
      <c r="B2939" t="str">
        <f t="shared" si="527"/>
        <v>21</v>
      </c>
      <c r="C2939" t="str">
        <f t="shared" si="517"/>
        <v>2020/21</v>
      </c>
      <c r="D2939" t="str">
        <f>"SS CO 112761"</f>
        <v>SS CO 112761</v>
      </c>
      <c r="E2939" t="str">
        <f t="shared" si="518"/>
        <v>SS</v>
      </c>
      <c r="F2939" t="s">
        <v>25</v>
      </c>
      <c r="G2939" t="s">
        <v>22</v>
      </c>
      <c r="H2939">
        <v>7402.25</v>
      </c>
      <c r="I2939" t="str">
        <f>"The Stroke Association"</f>
        <v>The Stroke Association</v>
      </c>
      <c r="J2939" t="str">
        <f>"Community Support for Stroke Voluntary Associations Agency And Contracted Services Physical Disability Commissioning - Non Placements Adult Heal"</f>
        <v>Community Support for Stroke Voluntary Associations Agency And Contracted Services Physical Disability Commissioning - Non Placements Adult Heal</v>
      </c>
    </row>
    <row r="2940" spans="1:10" x14ac:dyDescent="0.35">
      <c r="A2940" t="str">
        <f t="shared" si="521"/>
        <v>MAR</v>
      </c>
      <c r="B2940" t="str">
        <f t="shared" si="527"/>
        <v>21</v>
      </c>
      <c r="C2940" t="str">
        <f t="shared" si="517"/>
        <v>2020/21</v>
      </c>
      <c r="D2940" t="str">
        <f>"LS RE 207040"</f>
        <v>LS RE 207040</v>
      </c>
      <c r="E2940" t="str">
        <f t="shared" si="518"/>
        <v>LS</v>
      </c>
      <c r="F2940" t="s">
        <v>35</v>
      </c>
      <c r="G2940" t="s">
        <v>14</v>
      </c>
      <c r="H2940">
        <v>600</v>
      </c>
      <c r="I2940" t="str">
        <f>"Fields In Trust"</f>
        <v>Fields In Trust</v>
      </c>
      <c r="J2940" t="str">
        <f>"Land Registry Fees Services Supplies And Services Technical Support Green Space and Street Scene"</f>
        <v>Land Registry Fees Services Supplies And Services Technical Support Green Space and Street Scene</v>
      </c>
    </row>
    <row r="2941" spans="1:10" x14ac:dyDescent="0.35">
      <c r="A2941" t="str">
        <f t="shared" si="521"/>
        <v>MAR</v>
      </c>
      <c r="B2941" t="str">
        <f t="shared" si="527"/>
        <v>21</v>
      </c>
      <c r="C2941" t="str">
        <f t="shared" si="517"/>
        <v>2020/21</v>
      </c>
      <c r="D2941" t="str">
        <f>"LS TE 206826"</f>
        <v>LS TE 206826</v>
      </c>
      <c r="E2941" t="str">
        <f t="shared" si="518"/>
        <v>LS</v>
      </c>
      <c r="F2941" t="s">
        <v>35</v>
      </c>
      <c r="G2941" t="s">
        <v>14</v>
      </c>
      <c r="H2941">
        <v>55</v>
      </c>
      <c r="I2941" t="str">
        <f>"Nat Soc of Allotment &amp; Leisure Gardeners Ltd"</f>
        <v>Nat Soc of Allotment &amp; Leisure Gardeners Ltd</v>
      </c>
      <c r="J2941" t="str">
        <f>"Grants and Prizes Grants And Subscriptions Supplies And Services Allotments Green Space and Street Scene"</f>
        <v>Grants and Prizes Grants And Subscriptions Supplies And Services Allotments Green Space and Street Scene</v>
      </c>
    </row>
    <row r="2942" spans="1:10" x14ac:dyDescent="0.35">
      <c r="A2942" t="str">
        <f t="shared" si="521"/>
        <v>MAR</v>
      </c>
      <c r="B2942" t="str">
        <f t="shared" si="527"/>
        <v>21</v>
      </c>
      <c r="C2942" t="str">
        <f t="shared" si="517"/>
        <v>2020/21</v>
      </c>
      <c r="D2942" t="str">
        <f>"LS HO 206755"</f>
        <v>LS HO 206755</v>
      </c>
      <c r="E2942" t="str">
        <f t="shared" si="518"/>
        <v>LS</v>
      </c>
      <c r="F2942" t="s">
        <v>35</v>
      </c>
      <c r="G2942" t="s">
        <v>14</v>
      </c>
      <c r="H2942">
        <v>297</v>
      </c>
      <c r="I2942" t="str">
        <f>"APSE"</f>
        <v>APSE</v>
      </c>
      <c r="J2942" t="str">
        <f>"Training Expenses - Course Fees Expenses Employees And Related Expenses Highway Operations Green Space and Street Scene"</f>
        <v>Training Expenses - Course Fees Expenses Employees And Related Expenses Highway Operations Green Space and Street Scene</v>
      </c>
    </row>
    <row r="2943" spans="1:10" x14ac:dyDescent="0.35">
      <c r="A2943" t="str">
        <f t="shared" si="521"/>
        <v>MAR</v>
      </c>
      <c r="B2943" t="str">
        <f t="shared" si="527"/>
        <v>21</v>
      </c>
      <c r="C2943" t="str">
        <f t="shared" si="517"/>
        <v>2020/21</v>
      </c>
      <c r="D2943" t="str">
        <f>"EH WD 036440"</f>
        <v>EH WD 036440</v>
      </c>
      <c r="E2943" t="str">
        <f t="shared" si="518"/>
        <v>EH</v>
      </c>
      <c r="F2943" t="s">
        <v>39</v>
      </c>
      <c r="G2943" t="s">
        <v>18</v>
      </c>
      <c r="H2943">
        <v>5019.1400000000003</v>
      </c>
      <c r="I2943" t="str">
        <f>"Canal &amp; River Trust (British Waterways)"</f>
        <v>Canal &amp; River Trust (British Waterways)</v>
      </c>
      <c r="J2943" t="str">
        <f>"Discharge Fees YW Services Supplies And Services Waste Mgt - Land Management Environmental Services"</f>
        <v>Discharge Fees YW Services Supplies And Services Waste Mgt - Land Management Environmental Services</v>
      </c>
    </row>
    <row r="2944" spans="1:10" x14ac:dyDescent="0.35">
      <c r="A2944" t="str">
        <f t="shared" si="521"/>
        <v>MAR</v>
      </c>
      <c r="B2944" t="str">
        <f t="shared" si="527"/>
        <v>21</v>
      </c>
      <c r="C2944" t="str">
        <f t="shared" si="517"/>
        <v>2020/21</v>
      </c>
      <c r="D2944" t="str">
        <f>"EH WD 036445"</f>
        <v>EH WD 036445</v>
      </c>
      <c r="E2944" t="str">
        <f t="shared" si="518"/>
        <v>EH</v>
      </c>
      <c r="F2944" t="s">
        <v>39</v>
      </c>
      <c r="G2944" t="s">
        <v>18</v>
      </c>
      <c r="H2944">
        <v>2284.35</v>
      </c>
      <c r="I2944" t="str">
        <f>"Overgate Hospice"</f>
        <v>Overgate Hospice</v>
      </c>
      <c r="J2944" t="str">
        <f>"Recycling Credits Services Supplies And Services Waste Mgt - Recycling Environmental Services"</f>
        <v>Recycling Credits Services Supplies And Services Waste Mgt - Recycling Environmental Services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 to the VCSE 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Martin</dc:creator>
  <cp:lastModifiedBy>xs18</cp:lastModifiedBy>
  <dcterms:created xsi:type="dcterms:W3CDTF">2021-09-06T13:27:05Z</dcterms:created>
  <dcterms:modified xsi:type="dcterms:W3CDTF">2021-09-15T13:33:32Z</dcterms:modified>
</cp:coreProperties>
</file>