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cath\PODS\Open data\2023\agency social workers\Sharon Greenwood reply\"/>
    </mc:Choice>
  </mc:AlternateContent>
  <xr:revisionPtr revIDLastSave="0" documentId="13_ncr:1_{912EA6BE-EE6E-4E54-8559-CAC74CFA5020}" xr6:coauthVersionLast="47" xr6:coauthVersionMax="47" xr10:uidLastSave="{00000000-0000-0000-0000-000000000000}"/>
  <bookViews>
    <workbookView xWindow="28680" yWindow="-120" windowWidth="29040" windowHeight="15840" firstSheet="4" activeTab="4" xr2:uid="{00000000-000D-0000-FFFF-FFFF00000000}"/>
  </bookViews>
  <sheets>
    <sheet name="Agency Costs" sheetId="1" state="hidden" r:id="rId1"/>
    <sheet name="201617 Fig" sheetId="2" state="hidden" r:id="rId2"/>
    <sheet name="Agency RAG" sheetId="5" state="hidden" r:id="rId3"/>
    <sheet name="Consultants" sheetId="4" state="hidden" r:id="rId4"/>
    <sheet name="CMBC CYP Agency spend"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6" l="1"/>
  <c r="F22" i="6"/>
  <c r="F13" i="6"/>
  <c r="H13" i="6"/>
  <c r="H30" i="6" s="1"/>
  <c r="F30" i="6" l="1"/>
  <c r="Q30" i="6"/>
  <c r="O30" i="6"/>
  <c r="N30" i="6"/>
  <c r="L30" i="6"/>
  <c r="J30" i="6"/>
  <c r="K31" i="1" l="1"/>
  <c r="H33" i="1"/>
  <c r="G33" i="1"/>
  <c r="E33" i="1"/>
  <c r="D33" i="1"/>
  <c r="H6" i="4" l="1"/>
  <c r="A6" i="4"/>
  <c r="I26" i="1" l="1"/>
  <c r="I24" i="1"/>
  <c r="K8" i="1"/>
  <c r="K9" i="1"/>
  <c r="K27" i="1"/>
  <c r="K28" i="1"/>
  <c r="K24" i="1"/>
  <c r="K25" i="1"/>
  <c r="K26" i="1"/>
  <c r="I13" i="1" l="1"/>
  <c r="I14" i="1"/>
  <c r="I15" i="1"/>
  <c r="I17" i="1"/>
  <c r="I18" i="1"/>
  <c r="I19" i="1"/>
  <c r="I20" i="1"/>
  <c r="I21" i="1"/>
  <c r="I22" i="1"/>
  <c r="I23" i="1"/>
  <c r="I25" i="1"/>
  <c r="I27" i="1"/>
  <c r="I29" i="1"/>
  <c r="I12" i="1"/>
  <c r="I8" i="1"/>
  <c r="I16" i="1" l="1"/>
  <c r="I9" i="1"/>
  <c r="B11" i="5" l="1"/>
  <c r="B10" i="5"/>
  <c r="B9" i="5"/>
  <c r="B8" i="5"/>
  <c r="B7" i="5"/>
  <c r="B6" i="5"/>
  <c r="B5" i="5"/>
  <c r="B4" i="5"/>
  <c r="B12" i="5" l="1"/>
  <c r="A23" i="1"/>
  <c r="G12" i="5" l="1"/>
  <c r="C12" i="5"/>
  <c r="D8" i="5" s="1"/>
  <c r="D9" i="5" l="1"/>
  <c r="D5" i="5"/>
  <c r="D6" i="5"/>
  <c r="D10" i="5"/>
  <c r="D7" i="5"/>
  <c r="D11" i="5"/>
  <c r="D4" i="5"/>
  <c r="I33" i="1" l="1"/>
  <c r="K13" i="1" l="1"/>
  <c r="K14" i="1"/>
  <c r="K15" i="1"/>
  <c r="K16" i="1"/>
  <c r="K17" i="1"/>
  <c r="K18" i="1"/>
  <c r="K19" i="1"/>
  <c r="K20" i="1"/>
  <c r="K21" i="1"/>
  <c r="K22" i="1"/>
  <c r="K23" i="1"/>
  <c r="K29" i="1"/>
  <c r="K12" i="1"/>
  <c r="K33" i="1" s="1"/>
  <c r="A19" i="2"/>
  <c r="A18" i="2"/>
  <c r="A17" i="2"/>
  <c r="A16" i="2"/>
  <c r="A15" i="2"/>
  <c r="A14" i="2"/>
  <c r="A13" i="2"/>
  <c r="A12" i="2"/>
  <c r="A11" i="2"/>
  <c r="A10" i="2"/>
  <c r="A9" i="2"/>
  <c r="A8" i="2"/>
  <c r="A7" i="2"/>
  <c r="A6" i="2"/>
  <c r="A5" i="2"/>
  <c r="A4" i="2"/>
  <c r="A3" i="2"/>
  <c r="A2" i="2"/>
  <c r="A8" i="1"/>
  <c r="A9" i="1"/>
  <c r="A12" i="1"/>
  <c r="A13" i="1"/>
  <c r="A14" i="1"/>
  <c r="A15" i="1"/>
  <c r="A16" i="1"/>
  <c r="A17" i="1"/>
  <c r="A18" i="1"/>
  <c r="A19" i="1"/>
  <c r="A20" i="1"/>
  <c r="A21" i="1"/>
  <c r="A22" i="1"/>
  <c r="A25" i="1"/>
  <c r="A27" i="1"/>
  <c r="A29" i="1"/>
</calcChain>
</file>

<file path=xl/sharedStrings.xml><?xml version="1.0" encoding="utf-8"?>
<sst xmlns="http://schemas.openxmlformats.org/spreadsheetml/2006/main" count="314" uniqueCount="155">
  <si>
    <t>FL Code</t>
  </si>
  <si>
    <t>Code Marker</t>
  </si>
  <si>
    <t>Service</t>
  </si>
  <si>
    <t>Cost Centre</t>
  </si>
  <si>
    <t>5th Digit</t>
  </si>
  <si>
    <t>6th Digit</t>
  </si>
  <si>
    <t>Description</t>
  </si>
  <si>
    <t>Suffix</t>
  </si>
  <si>
    <t>Spend</t>
  </si>
  <si>
    <t>Annual Budget</t>
  </si>
  <si>
    <t>Balance</t>
  </si>
  <si>
    <t>Commitment</t>
  </si>
  <si>
    <t>Annual Percentage</t>
  </si>
  <si>
    <t>S</t>
  </si>
  <si>
    <t>Adult Health &amp; Social Care</t>
  </si>
  <si>
    <t>Ferney Lee HOP</t>
  </si>
  <si>
    <t>Employees</t>
  </si>
  <si>
    <t>Agency Costs</t>
  </si>
  <si>
    <t>Agency Costs - Acting Manager</t>
  </si>
  <si>
    <t>Agency Costs - Care Asst</t>
  </si>
  <si>
    <t>North Halifax OPPD Service Team</t>
  </si>
  <si>
    <t>Agency Costs - Social Worker</t>
  </si>
  <si>
    <t>South Halifax OPPD Service Team</t>
  </si>
  <si>
    <t>Lower Valley OPPD Service Team</t>
  </si>
  <si>
    <t>Upper Valley OPPD Service Team</t>
  </si>
  <si>
    <t>Calderdale Royal Hospital Social Work Team</t>
  </si>
  <si>
    <t>Agency Costs - Team Manager</t>
  </si>
  <si>
    <t>Mental Capacity Act Team</t>
  </si>
  <si>
    <t>Agency Staff: Social Workers</t>
  </si>
  <si>
    <t>Community Place</t>
  </si>
  <si>
    <t>Agency - Team Leader</t>
  </si>
  <si>
    <t>Agency - Social Workers</t>
  </si>
  <si>
    <t>Fairer Charges Income - Adults</t>
  </si>
  <si>
    <t>Agency Staff - Charging Policy Review</t>
  </si>
  <si>
    <t>AHSC Strategic Management</t>
  </si>
  <si>
    <t>Agency Service Manager (Safeguarding)</t>
  </si>
  <si>
    <t>Safeguarding Adults</t>
  </si>
  <si>
    <t>Agency: Team Manager</t>
  </si>
  <si>
    <t>Community Mental Health Team</t>
  </si>
  <si>
    <t>Community Learning Disabilities Team</t>
  </si>
  <si>
    <t>Agency Costs - Support Workers</t>
  </si>
  <si>
    <t>Occupational Therapy (OT) Assessment Service</t>
  </si>
  <si>
    <t>OT Agency Staff</t>
  </si>
  <si>
    <t>Central Halifax Reablement Teams SIT</t>
  </si>
  <si>
    <t>Agency Reablement Assessor</t>
  </si>
  <si>
    <t>Agency - Team Leader / Advanced Practitioner</t>
  </si>
  <si>
    <t>Social Work Practice Team</t>
  </si>
  <si>
    <t>Agency Staff: Safeguarding Lead</t>
  </si>
  <si>
    <t>Agency Staff: Winter Pressures Money</t>
  </si>
  <si>
    <t>Agency Costs - Social Worker Agency Costs Safeguarding Adults</t>
  </si>
  <si>
    <t>Agency Costs - Admin Staff</t>
  </si>
  <si>
    <t>OBSOLETE was Operations Mgt-Safeguarding &amp; Quality</t>
  </si>
  <si>
    <t>Agency Staff - CMT Social Worker</t>
  </si>
  <si>
    <t>Agency Costs - Advanced Practioner</t>
  </si>
  <si>
    <t>Difference</t>
  </si>
  <si>
    <t>2017/18</t>
  </si>
  <si>
    <t>Total Adult Health &amp; Social Care</t>
  </si>
  <si>
    <t>Glenn Swindell</t>
  </si>
  <si>
    <t>Preparing for Adulthood</t>
  </si>
  <si>
    <t>Notes</t>
  </si>
  <si>
    <t>Social Workers posts currently being recruited to - no further Agency after August</t>
  </si>
  <si>
    <t>LD Commissioned Budget</t>
  </si>
  <si>
    <t>Agency Analysis</t>
  </si>
  <si>
    <t>Consultants Analysis</t>
  </si>
  <si>
    <t>Forecast</t>
  </si>
  <si>
    <t>Full</t>
  </si>
  <si>
    <t>Year</t>
  </si>
  <si>
    <t>Expenditure</t>
  </si>
  <si>
    <t>Agency Staff Forecast Spend 2017/18 -Adults</t>
  </si>
  <si>
    <t>Forecast 2017/18 spend 
£000's</t>
  </si>
  <si>
    <t xml:space="preserve">% spend </t>
  </si>
  <si>
    <t>Assumptions made re anticipated use in 2017/18</t>
  </si>
  <si>
    <t>2016/17 Actual Costs £000's</t>
  </si>
  <si>
    <t>Risk</t>
  </si>
  <si>
    <t>DOLS/MCA</t>
  </si>
  <si>
    <t>Occupational Therapists</t>
  </si>
  <si>
    <t>Locality Social Work Teams, MH &amp; LDS Social Work Teams</t>
  </si>
  <si>
    <t>Hospital Social WorkTeam 
Community Place</t>
  </si>
  <si>
    <t xml:space="preserve">Safeguarding </t>
  </si>
  <si>
    <t>In-house provision (Ferney Lee, Day Centres)</t>
  </si>
  <si>
    <t xml:space="preserve">Service Manager </t>
  </si>
  <si>
    <t>This use of agency staff will end when the new  permanent Service Manager starts on 1st September 2017</t>
  </si>
  <si>
    <t xml:space="preserve">Commissioning Strategy Manager </t>
  </si>
  <si>
    <t>Forecast Spend</t>
  </si>
  <si>
    <t>RISK</t>
  </si>
  <si>
    <r>
      <t>This is an attempt to identify the risk of</t>
    </r>
    <r>
      <rPr>
        <b/>
        <u/>
        <sz val="11"/>
        <color theme="1"/>
        <rFont val="Calibri"/>
        <family val="2"/>
        <scheme val="minor"/>
      </rPr>
      <t xml:space="preserve"> not</t>
    </r>
    <r>
      <rPr>
        <sz val="11"/>
        <color theme="1"/>
        <rFont val="Calibri"/>
        <family val="2"/>
        <scheme val="minor"/>
      </rPr>
      <t xml:space="preserve"> contining the use of agency staff should the planned actions to recruit to vacancies</t>
    </r>
  </si>
  <si>
    <t>Commissioning Strategy Manager has now been extended until 31/3/18 to enable continuing savings being achieved</t>
  </si>
  <si>
    <t>Agency Costs - Advanced Practioner Agency Costs Safeguarding Adults</t>
  </si>
  <si>
    <t>2 x Advanced Practioners covering sickness / vacancy agreed by VRG for 3 months</t>
  </si>
  <si>
    <t>Current Performance compared to earlier in 2017/18</t>
  </si>
  <si>
    <t>The need for OT input continues to support DToC</t>
  </si>
  <si>
    <t>Vacancies  recruited to and limited  use of agency staff in specialist roles (ie MH)</t>
  </si>
  <si>
    <t xml:space="preserve">Some Hospital vacancies have been recruited to. A thoughtful approach is necessary to continue the use of agency staff  to cover gaps as  the risk on length of stay  and DToC will mean a deterioration in discharge performance etc.
Community Place extend through iBCF funding to end of March. The use of agency staff(2) in this area continues. </t>
  </si>
  <si>
    <t>Use of Agency staff to tackle the backlog for 12 weeks only (end of April)</t>
  </si>
  <si>
    <t xml:space="preserve">Use of agency care staff has reduced. 
The major use of agency staff is the vacant Registered Manager (RM) post, who has now been permanently Recruited to from 1st November 2017.  </t>
  </si>
  <si>
    <t xml:space="preserve">
Use of Agency Staff to continue but interviews for permanent staff to take place imminently</t>
  </si>
  <si>
    <t>Spend to date</t>
  </si>
  <si>
    <t>Analysis of Agency and Consultants Spend</t>
  </si>
  <si>
    <t>Gateway to Care</t>
  </si>
  <si>
    <t>2018/19</t>
  </si>
  <si>
    <t>No Longer in Place - Fully Staffed in this area now</t>
  </si>
  <si>
    <t>Permanent Manager now resigned - trying to recruit internally</t>
  </si>
  <si>
    <t>Still using ad-hoc Agency Staff but continuing to reduce</t>
  </si>
  <si>
    <t xml:space="preserve">The Community Place has now completed - no further costs anticipated </t>
  </si>
  <si>
    <t>Commissioning Strategy Manager now finished -no further costs expected</t>
  </si>
  <si>
    <t>Social Worker post agreed to assist with tfr from ISF to Supp Living</t>
  </si>
  <si>
    <t>Continuing to reduce - only 2 currently in place</t>
  </si>
  <si>
    <t>Agency covering the vacant Duty Social Worker post in this team</t>
  </si>
  <si>
    <t>Analysis of Agency and Consultants Spend - to 30th September</t>
  </si>
  <si>
    <t xml:space="preserve">The rectuitment of permanent staff to the BIA Team is complete </t>
  </si>
  <si>
    <t>Disabled Childrens Tean</t>
  </si>
  <si>
    <t>Commissioning FL Codes</t>
  </si>
  <si>
    <t>Full Year</t>
  </si>
  <si>
    <t>Agency</t>
  </si>
  <si>
    <t>2016/17</t>
  </si>
  <si>
    <t>Agency Costs - Team Leader</t>
  </si>
  <si>
    <t>Total Children's &amp; Young People's Service</t>
  </si>
  <si>
    <t>600P0560</t>
  </si>
  <si>
    <t>Central/West &amp; Upper Valley CP/CIN  Team</t>
  </si>
  <si>
    <t>Children Looked After Team</t>
  </si>
  <si>
    <t>Adoption Team</t>
  </si>
  <si>
    <t>Fostering Team</t>
  </si>
  <si>
    <t>Capital / AMP Team</t>
  </si>
  <si>
    <t>Agency Costs - Child Care Support Worker</t>
  </si>
  <si>
    <t>North &amp; East/Lower Valley CIN/CP  Team</t>
  </si>
  <si>
    <t>Safeguarding &amp; Quality Assurance Team</t>
  </si>
  <si>
    <t xml:space="preserve">Operational Management </t>
  </si>
  <si>
    <t>Agency Costs - Practice Manager</t>
  </si>
  <si>
    <t>Agency Costs - Reviewing Officer</t>
  </si>
  <si>
    <t>Agency Costs - Principal Officer</t>
  </si>
  <si>
    <t>TOTAL</t>
  </si>
  <si>
    <t>Strategic Management Team</t>
  </si>
  <si>
    <t>Agency Costs - Asst Dir Early Intervention &amp; Safeguarding</t>
  </si>
  <si>
    <t>2019/20</t>
  </si>
  <si>
    <t>2020/21</t>
  </si>
  <si>
    <t>SEN Team</t>
  </si>
  <si>
    <t>Agency Costs - SEN Manager &amp; other Staff</t>
  </si>
  <si>
    <t>60LT0560</t>
  </si>
  <si>
    <t xml:space="preserve">School Effectiveness </t>
  </si>
  <si>
    <t>2021/22</t>
  </si>
  <si>
    <t>Pathways Team</t>
  </si>
  <si>
    <t>Agency Costs - Personal Adviser</t>
  </si>
  <si>
    <t>72580504/72580505</t>
  </si>
  <si>
    <t>72580588/72520584</t>
  </si>
  <si>
    <t>Children's Assessment Team/MAST</t>
  </si>
  <si>
    <t>2022/23</t>
  </si>
  <si>
    <t>CMBC Children &amp; Young People's Service: Agency spend 2016/17 to 2022/23</t>
  </si>
  <si>
    <t>Specialist Inclusion</t>
  </si>
  <si>
    <t>Agency Costs - Teaching Staff</t>
  </si>
  <si>
    <t>Agency Costs - Senior School Effectiveness Officer</t>
  </si>
  <si>
    <t>72320504/72520506/72520504</t>
  </si>
  <si>
    <t>72530586/72540560</t>
  </si>
  <si>
    <t xml:space="preserve">Care Services Business Support </t>
  </si>
  <si>
    <t>Beverley Place (17/18 only)</t>
  </si>
  <si>
    <t>Data source: CMBC Finance Service 20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</si>
</sst>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81">
    <xf numFmtId="0" fontId="0" fillId="0" borderId="0" xfId="0"/>
    <xf numFmtId="0" fontId="16" fillId="0" borderId="0" xfId="0" applyFont="1"/>
    <xf numFmtId="0" fontId="18" fillId="0" borderId="0" xfId="0" applyFont="1"/>
    <xf numFmtId="0" fontId="16" fillId="0" borderId="0" xfId="0" applyFont="1" applyBorder="1"/>
    <xf numFmtId="0" fontId="0" fillId="0" borderId="11" xfId="0" applyBorder="1"/>
    <xf numFmtId="0" fontId="0" fillId="0" borderId="11" xfId="0" applyBorder="1" applyAlignment="1">
      <alignment wrapText="1"/>
    </xf>
    <xf numFmtId="0" fontId="0" fillId="0" borderId="0" xfId="0" applyBorder="1" applyAlignment="1">
      <alignment vertical="center" wrapText="1"/>
    </xf>
    <xf numFmtId="0" fontId="0" fillId="0" borderId="0" xfId="0"/>
    <xf numFmtId="0" fontId="0" fillId="0" borderId="11" xfId="0" applyBorder="1" applyAlignment="1">
      <alignment vertical="center" wrapText="1"/>
    </xf>
    <xf numFmtId="0" fontId="0" fillId="0" borderId="11" xfId="0" applyBorder="1"/>
    <xf numFmtId="0" fontId="0" fillId="0" borderId="0" xfId="0" applyBorder="1"/>
    <xf numFmtId="3" fontId="0" fillId="0" borderId="11" xfId="0" applyNumberFormat="1" applyBorder="1"/>
    <xf numFmtId="3" fontId="0" fillId="0" borderId="0" xfId="0" applyNumberFormat="1"/>
    <xf numFmtId="3" fontId="0" fillId="0" borderId="0" xfId="0" applyNumberFormat="1" applyBorder="1"/>
    <xf numFmtId="3" fontId="16" fillId="0" borderId="10" xfId="0" applyNumberFormat="1" applyFont="1" applyBorder="1"/>
    <xf numFmtId="3" fontId="16" fillId="0" borderId="0" xfId="0" applyNumberFormat="1" applyFont="1"/>
    <xf numFmtId="0" fontId="16" fillId="0" borderId="0" xfId="0" applyFont="1" applyBorder="1" applyAlignment="1">
      <alignment horizontal="center"/>
    </xf>
    <xf numFmtId="14" fontId="16" fillId="0" borderId="0" xfId="0" quotePrefix="1" applyNumberFormat="1" applyFont="1" applyBorder="1" applyAlignment="1">
      <alignment horizontal="center"/>
    </xf>
    <xf numFmtId="0" fontId="18" fillId="0" borderId="0" xfId="0" applyFont="1" applyBorder="1" applyAlignment="1">
      <alignment horizontal="center" vertical="center"/>
    </xf>
    <xf numFmtId="0" fontId="16" fillId="0" borderId="11" xfId="0" applyFont="1" applyBorder="1" applyAlignment="1">
      <alignment vertical="center"/>
    </xf>
    <xf numFmtId="0" fontId="16" fillId="0" borderId="11" xfId="0" applyFont="1" applyBorder="1" applyAlignment="1">
      <alignment horizontal="center" vertical="center" wrapText="1"/>
    </xf>
    <xf numFmtId="0" fontId="16" fillId="0" borderId="11" xfId="0" applyFont="1" applyBorder="1" applyAlignment="1">
      <alignment horizontal="center" wrapText="1"/>
    </xf>
    <xf numFmtId="0" fontId="16" fillId="0" borderId="12" xfId="0" applyFont="1" applyBorder="1" applyAlignment="1">
      <alignment horizontal="center" wrapText="1"/>
    </xf>
    <xf numFmtId="0" fontId="16" fillId="0" borderId="11" xfId="0" applyFont="1" applyFill="1" applyBorder="1" applyAlignment="1">
      <alignment horizontal="center" vertical="center" wrapText="1"/>
    </xf>
    <xf numFmtId="0" fontId="0" fillId="0" borderId="11" xfId="0" applyBorder="1" applyAlignment="1">
      <alignment vertical="center"/>
    </xf>
    <xf numFmtId="10" fontId="0" fillId="0" borderId="13" xfId="0" applyNumberFormat="1" applyBorder="1" applyAlignment="1">
      <alignment vertical="center"/>
    </xf>
    <xf numFmtId="0" fontId="0" fillId="0" borderId="11" xfId="0" applyBorder="1" applyAlignment="1"/>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0" fontId="0" fillId="0" borderId="14" xfId="0" applyFont="1" applyBorder="1" applyAlignment="1">
      <alignment horizontal="center"/>
    </xf>
    <xf numFmtId="3" fontId="0" fillId="0" borderId="15" xfId="0" applyNumberFormat="1" applyBorder="1" applyAlignment="1">
      <alignment horizontal="center" vertical="center"/>
    </xf>
    <xf numFmtId="0" fontId="0" fillId="0" borderId="16" xfId="0" applyFont="1" applyBorder="1" applyAlignment="1">
      <alignment horizontal="center"/>
    </xf>
    <xf numFmtId="0" fontId="16" fillId="0" borderId="11" xfId="0" applyFont="1" applyBorder="1"/>
    <xf numFmtId="38" fontId="16" fillId="0" borderId="11" xfId="0" applyNumberFormat="1" applyFont="1" applyBorder="1" applyAlignment="1">
      <alignment horizontal="center"/>
    </xf>
    <xf numFmtId="10" fontId="0" fillId="0" borderId="11" xfId="0" applyNumberFormat="1" applyBorder="1"/>
    <xf numFmtId="38" fontId="16" fillId="0" borderId="12" xfId="0" applyNumberFormat="1" applyFont="1" applyBorder="1" applyAlignment="1">
      <alignment horizontal="center"/>
    </xf>
    <xf numFmtId="0" fontId="18" fillId="33" borderId="17" xfId="0" applyFont="1" applyFill="1" applyBorder="1"/>
    <xf numFmtId="0" fontId="0" fillId="33" borderId="18" xfId="0" applyFill="1" applyBorder="1"/>
    <xf numFmtId="0" fontId="0" fillId="33" borderId="19" xfId="0" applyFill="1" applyBorder="1"/>
    <xf numFmtId="0" fontId="0" fillId="0" borderId="0" xfId="0" applyAlignment="1"/>
    <xf numFmtId="0" fontId="0" fillId="33" borderId="20" xfId="0" applyFill="1" applyBorder="1"/>
    <xf numFmtId="0" fontId="0" fillId="33" borderId="0" xfId="0" applyFill="1" applyBorder="1"/>
    <xf numFmtId="0" fontId="0" fillId="33" borderId="15" xfId="0" applyFill="1" applyBorder="1"/>
    <xf numFmtId="0" fontId="0" fillId="33" borderId="21" xfId="0" applyFill="1" applyBorder="1"/>
    <xf numFmtId="0" fontId="0" fillId="33" borderId="22" xfId="0" applyFill="1" applyBorder="1"/>
    <xf numFmtId="0" fontId="0" fillId="33" borderId="23" xfId="0" applyFill="1" applyBorder="1"/>
    <xf numFmtId="38" fontId="0" fillId="0" borderId="11" xfId="0" applyNumberFormat="1" applyFill="1" applyBorder="1" applyAlignment="1">
      <alignment horizontal="center" vertical="center"/>
    </xf>
    <xf numFmtId="3" fontId="0" fillId="0" borderId="11" xfId="0" applyNumberFormat="1" applyFill="1" applyBorder="1"/>
    <xf numFmtId="3" fontId="0" fillId="0" borderId="0" xfId="0" applyNumberFormat="1" applyFill="1"/>
    <xf numFmtId="0" fontId="0" fillId="0" borderId="11" xfId="0" applyBorder="1" applyAlignment="1">
      <alignment horizontal="center" vertical="center"/>
    </xf>
    <xf numFmtId="0" fontId="0" fillId="0" borderId="11" xfId="0" applyBorder="1" applyAlignment="1">
      <alignment horizontal="left" vertical="center" wrapText="1"/>
    </xf>
    <xf numFmtId="0" fontId="18" fillId="33" borderId="18" xfId="0" applyFont="1" applyFill="1" applyBorder="1"/>
    <xf numFmtId="38" fontId="16" fillId="0" borderId="11" xfId="0" applyNumberFormat="1" applyFont="1" applyBorder="1" applyAlignment="1">
      <alignment horizontal="center" vertical="center"/>
    </xf>
    <xf numFmtId="3" fontId="0" fillId="0" borderId="11" xfId="0" applyNumberFormat="1" applyBorder="1" applyAlignment="1">
      <alignment horizontal="center" vertical="center" wrapText="1"/>
    </xf>
    <xf numFmtId="1" fontId="0" fillId="0" borderId="11" xfId="0" applyNumberFormat="1" applyBorder="1"/>
    <xf numFmtId="1" fontId="0" fillId="0" borderId="0" xfId="0" applyNumberFormat="1"/>
    <xf numFmtId="1" fontId="0" fillId="0" borderId="0" xfId="0" applyNumberFormat="1" applyBorder="1"/>
    <xf numFmtId="14" fontId="18" fillId="0" borderId="0" xfId="0" applyNumberFormat="1" applyFont="1"/>
    <xf numFmtId="0" fontId="0" fillId="0" borderId="11" xfId="0" applyBorder="1" applyAlignment="1">
      <alignment horizontal="left"/>
    </xf>
    <xf numFmtId="0" fontId="16" fillId="0" borderId="0" xfId="0" applyFont="1" applyFill="1" applyBorder="1"/>
    <xf numFmtId="3" fontId="0" fillId="0" borderId="0" xfId="0" applyNumberFormat="1" applyFill="1" applyBorder="1"/>
    <xf numFmtId="0" fontId="0" fillId="0" borderId="11" xfId="0" applyFill="1" applyBorder="1"/>
    <xf numFmtId="0" fontId="0" fillId="0" borderId="0" xfId="0"/>
    <xf numFmtId="0" fontId="0" fillId="0" borderId="11" xfId="0" applyBorder="1"/>
    <xf numFmtId="3" fontId="0" fillId="0" borderId="11" xfId="0" applyNumberFormat="1" applyBorder="1"/>
    <xf numFmtId="3" fontId="0" fillId="0" borderId="11" xfId="0" applyNumberFormat="1" applyFill="1" applyBorder="1"/>
    <xf numFmtId="0" fontId="0" fillId="0" borderId="11" xfId="0" applyBorder="1"/>
    <xf numFmtId="3" fontId="0" fillId="0" borderId="11" xfId="0" applyNumberFormat="1" applyBorder="1"/>
    <xf numFmtId="0" fontId="0" fillId="0" borderId="0" xfId="0"/>
    <xf numFmtId="3" fontId="0" fillId="0" borderId="11" xfId="0" applyNumberFormat="1" applyFill="1" applyBorder="1"/>
    <xf numFmtId="0" fontId="0" fillId="0" borderId="11" xfId="0" applyBorder="1"/>
    <xf numFmtId="3" fontId="0" fillId="0" borderId="11" xfId="0" applyNumberFormat="1" applyBorder="1"/>
    <xf numFmtId="3" fontId="16" fillId="0" borderId="10" xfId="0" applyNumberFormat="1" applyFont="1" applyBorder="1"/>
    <xf numFmtId="0" fontId="16" fillId="0" borderId="0" xfId="0" applyFont="1" applyAlignment="1">
      <alignment horizontal="right"/>
    </xf>
    <xf numFmtId="3" fontId="16" fillId="0" borderId="0" xfId="0" quotePrefix="1" applyNumberFormat="1" applyFont="1" applyBorder="1" applyAlignment="1">
      <alignment horizontal="center"/>
    </xf>
    <xf numFmtId="0" fontId="0" fillId="0" borderId="0" xfId="0" quotePrefix="1" applyAlignment="1">
      <alignment horizontal="left"/>
    </xf>
    <xf numFmtId="0" fontId="0" fillId="0" borderId="11" xfId="0" quotePrefix="1" applyBorder="1"/>
    <xf numFmtId="0" fontId="0" fillId="0" borderId="11" xfId="0" quotePrefix="1" applyBorder="1" applyAlignment="1">
      <alignment horizontal="left"/>
    </xf>
    <xf numFmtId="164" fontId="0" fillId="0" borderId="11" xfId="42" applyNumberFormat="1" applyFont="1" applyBorder="1"/>
    <xf numFmtId="0" fontId="0" fillId="0" borderId="11" xfId="0" applyBorder="1" applyAlignment="1">
      <alignment horizontal="left" wrapText="1"/>
    </xf>
    <xf numFmtId="0" fontId="18" fillId="0" borderId="0" xfId="0" applyFont="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266699</xdr:colOff>
      <xdr:row>5</xdr:row>
      <xdr:rowOff>190500</xdr:rowOff>
    </xdr:from>
    <xdr:to>
      <xdr:col>8</xdr:col>
      <xdr:colOff>695322</xdr:colOff>
      <xdr:row>5</xdr:row>
      <xdr:rowOff>638175</xdr:rowOff>
    </xdr:to>
    <xdr:sp macro="" textlink="">
      <xdr:nvSpPr>
        <xdr:cNvPr id="4" name="Oval 3">
          <a:extLst>
            <a:ext uri="{FF2B5EF4-FFF2-40B4-BE49-F238E27FC236}">
              <a16:creationId xmlns:a16="http://schemas.microsoft.com/office/drawing/2014/main" id="{00000000-0008-0000-0200-000004000000}"/>
            </a:ext>
          </a:extLst>
        </xdr:cNvPr>
        <xdr:cNvSpPr/>
      </xdr:nvSpPr>
      <xdr:spPr>
        <a:xfrm rot="10800000" flipV="1">
          <a:off x="10753724" y="3000375"/>
          <a:ext cx="428623" cy="447675"/>
        </a:xfrm>
        <a:prstGeom prst="ellipse">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A</a:t>
          </a:r>
        </a:p>
      </xdr:txBody>
    </xdr:sp>
    <xdr:clientData/>
  </xdr:twoCellAnchor>
  <xdr:twoCellAnchor>
    <xdr:from>
      <xdr:col>5</xdr:col>
      <xdr:colOff>409574</xdr:colOff>
      <xdr:row>5</xdr:row>
      <xdr:rowOff>133350</xdr:rowOff>
    </xdr:from>
    <xdr:to>
      <xdr:col>5</xdr:col>
      <xdr:colOff>666749</xdr:colOff>
      <xdr:row>5</xdr:row>
      <xdr:rowOff>590549</xdr:rowOff>
    </xdr:to>
    <xdr:sp macro="" textlink="">
      <xdr:nvSpPr>
        <xdr:cNvPr id="9" name="Down Arrow 8">
          <a:extLst>
            <a:ext uri="{FF2B5EF4-FFF2-40B4-BE49-F238E27FC236}">
              <a16:creationId xmlns:a16="http://schemas.microsoft.com/office/drawing/2014/main" id="{00000000-0008-0000-0200-000009000000}"/>
            </a:ext>
          </a:extLst>
        </xdr:cNvPr>
        <xdr:cNvSpPr/>
      </xdr:nvSpPr>
      <xdr:spPr>
        <a:xfrm>
          <a:off x="7515224" y="2400300"/>
          <a:ext cx="257175" cy="457199"/>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342900</xdr:colOff>
      <xdr:row>8</xdr:row>
      <xdr:rowOff>180975</xdr:rowOff>
    </xdr:from>
    <xdr:to>
      <xdr:col>5</xdr:col>
      <xdr:colOff>619125</xdr:colOff>
      <xdr:row>8</xdr:row>
      <xdr:rowOff>742950</xdr:rowOff>
    </xdr:to>
    <xdr:sp macro="" textlink="">
      <xdr:nvSpPr>
        <xdr:cNvPr id="11" name="Down Arrow 10">
          <a:extLst>
            <a:ext uri="{FF2B5EF4-FFF2-40B4-BE49-F238E27FC236}">
              <a16:creationId xmlns:a16="http://schemas.microsoft.com/office/drawing/2014/main" id="{00000000-0008-0000-0200-00000B000000}"/>
            </a:ext>
          </a:extLst>
        </xdr:cNvPr>
        <xdr:cNvSpPr/>
      </xdr:nvSpPr>
      <xdr:spPr>
        <a:xfrm>
          <a:off x="7448550" y="5200650"/>
          <a:ext cx="276225" cy="561975"/>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266700</xdr:colOff>
      <xdr:row>9</xdr:row>
      <xdr:rowOff>200025</xdr:rowOff>
    </xdr:from>
    <xdr:to>
      <xdr:col>8</xdr:col>
      <xdr:colOff>695326</xdr:colOff>
      <xdr:row>9</xdr:row>
      <xdr:rowOff>600075</xdr:rowOff>
    </xdr:to>
    <xdr:sp macro="" textlink="">
      <xdr:nvSpPr>
        <xdr:cNvPr id="12" name="Oval 11">
          <a:extLst>
            <a:ext uri="{FF2B5EF4-FFF2-40B4-BE49-F238E27FC236}">
              <a16:creationId xmlns:a16="http://schemas.microsoft.com/office/drawing/2014/main" id="{00000000-0008-0000-0200-00000C000000}"/>
            </a:ext>
          </a:extLst>
        </xdr:cNvPr>
        <xdr:cNvSpPr/>
      </xdr:nvSpPr>
      <xdr:spPr>
        <a:xfrm>
          <a:off x="10753725" y="6838950"/>
          <a:ext cx="428626" cy="400050"/>
        </a:xfrm>
        <a:prstGeom prst="ellips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tIns="0" rtlCol="0" anchor="ctr" anchorCtr="1"/>
        <a:lstStyle/>
        <a:p>
          <a:pPr algn="ctr"/>
          <a:r>
            <a:rPr lang="en-GB">
              <a:solidFill>
                <a:sysClr val="windowText" lastClr="000000"/>
              </a:solidFill>
            </a:rPr>
            <a:t>G</a:t>
          </a:r>
        </a:p>
      </xdr:txBody>
    </xdr:sp>
    <xdr:clientData/>
  </xdr:twoCellAnchor>
  <xdr:twoCellAnchor>
    <xdr:from>
      <xdr:col>8</xdr:col>
      <xdr:colOff>295273</xdr:colOff>
      <xdr:row>6</xdr:row>
      <xdr:rowOff>190500</xdr:rowOff>
    </xdr:from>
    <xdr:to>
      <xdr:col>8</xdr:col>
      <xdr:colOff>704848</xdr:colOff>
      <xdr:row>6</xdr:row>
      <xdr:rowOff>638175</xdr:rowOff>
    </xdr:to>
    <xdr:sp macro="" textlink="">
      <xdr:nvSpPr>
        <xdr:cNvPr id="13" name="Oval 12">
          <a:extLst>
            <a:ext uri="{FF2B5EF4-FFF2-40B4-BE49-F238E27FC236}">
              <a16:creationId xmlns:a16="http://schemas.microsoft.com/office/drawing/2014/main" id="{00000000-0008-0000-0200-00000D000000}"/>
            </a:ext>
          </a:extLst>
        </xdr:cNvPr>
        <xdr:cNvSpPr/>
      </xdr:nvSpPr>
      <xdr:spPr>
        <a:xfrm rot="10800000" flipV="1">
          <a:off x="10782298" y="3848100"/>
          <a:ext cx="409575" cy="44767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R</a:t>
          </a:r>
        </a:p>
      </xdr:txBody>
    </xdr:sp>
    <xdr:clientData/>
  </xdr:twoCellAnchor>
  <xdr:twoCellAnchor>
    <xdr:from>
      <xdr:col>8</xdr:col>
      <xdr:colOff>295274</xdr:colOff>
      <xdr:row>8</xdr:row>
      <xdr:rowOff>190500</xdr:rowOff>
    </xdr:from>
    <xdr:to>
      <xdr:col>8</xdr:col>
      <xdr:colOff>704849</xdr:colOff>
      <xdr:row>8</xdr:row>
      <xdr:rowOff>581025</xdr:rowOff>
    </xdr:to>
    <xdr:sp macro="" textlink="">
      <xdr:nvSpPr>
        <xdr:cNvPr id="14" name="Oval 13">
          <a:extLst>
            <a:ext uri="{FF2B5EF4-FFF2-40B4-BE49-F238E27FC236}">
              <a16:creationId xmlns:a16="http://schemas.microsoft.com/office/drawing/2014/main" id="{00000000-0008-0000-0200-00000E000000}"/>
            </a:ext>
          </a:extLst>
        </xdr:cNvPr>
        <xdr:cNvSpPr/>
      </xdr:nvSpPr>
      <xdr:spPr>
        <a:xfrm rot="10800000" flipV="1">
          <a:off x="10782299" y="5829300"/>
          <a:ext cx="409575" cy="390525"/>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R</a:t>
          </a:r>
        </a:p>
      </xdr:txBody>
    </xdr:sp>
    <xdr:clientData/>
  </xdr:twoCellAnchor>
  <xdr:twoCellAnchor>
    <xdr:from>
      <xdr:col>8</xdr:col>
      <xdr:colOff>266700</xdr:colOff>
      <xdr:row>7</xdr:row>
      <xdr:rowOff>200025</xdr:rowOff>
    </xdr:from>
    <xdr:to>
      <xdr:col>8</xdr:col>
      <xdr:colOff>695326</xdr:colOff>
      <xdr:row>7</xdr:row>
      <xdr:rowOff>600075</xdr:rowOff>
    </xdr:to>
    <xdr:sp macro="" textlink="">
      <xdr:nvSpPr>
        <xdr:cNvPr id="17" name="Oval 16">
          <a:extLst>
            <a:ext uri="{FF2B5EF4-FFF2-40B4-BE49-F238E27FC236}">
              <a16:creationId xmlns:a16="http://schemas.microsoft.com/office/drawing/2014/main" id="{00000000-0008-0000-0200-000011000000}"/>
            </a:ext>
          </a:extLst>
        </xdr:cNvPr>
        <xdr:cNvSpPr/>
      </xdr:nvSpPr>
      <xdr:spPr>
        <a:xfrm>
          <a:off x="10753725" y="4991100"/>
          <a:ext cx="428626" cy="400050"/>
        </a:xfrm>
        <a:prstGeom prst="ellipse">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tIns="0" rtlCol="0" anchor="ctr" anchorCtr="1"/>
        <a:lstStyle/>
        <a:p>
          <a:pPr algn="ctr"/>
          <a:r>
            <a:rPr lang="en-GB">
              <a:solidFill>
                <a:sysClr val="windowText" lastClr="000000"/>
              </a:solidFill>
            </a:rPr>
            <a:t>G</a:t>
          </a:r>
        </a:p>
      </xdr:txBody>
    </xdr:sp>
    <xdr:clientData/>
  </xdr:twoCellAnchor>
  <xdr:twoCellAnchor>
    <xdr:from>
      <xdr:col>8</xdr:col>
      <xdr:colOff>257174</xdr:colOff>
      <xdr:row>4</xdr:row>
      <xdr:rowOff>95251</xdr:rowOff>
    </xdr:from>
    <xdr:to>
      <xdr:col>8</xdr:col>
      <xdr:colOff>704847</xdr:colOff>
      <xdr:row>4</xdr:row>
      <xdr:rowOff>457201</xdr:rowOff>
    </xdr:to>
    <xdr:sp macro="" textlink="">
      <xdr:nvSpPr>
        <xdr:cNvPr id="21" name="Oval 20">
          <a:extLst>
            <a:ext uri="{FF2B5EF4-FFF2-40B4-BE49-F238E27FC236}">
              <a16:creationId xmlns:a16="http://schemas.microsoft.com/office/drawing/2014/main" id="{00000000-0008-0000-0200-000015000000}"/>
            </a:ext>
          </a:extLst>
        </xdr:cNvPr>
        <xdr:cNvSpPr/>
      </xdr:nvSpPr>
      <xdr:spPr>
        <a:xfrm rot="10800000" flipV="1">
          <a:off x="9401174" y="2000251"/>
          <a:ext cx="447673" cy="36195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R</a:t>
          </a:r>
        </a:p>
      </xdr:txBody>
    </xdr:sp>
    <xdr:clientData/>
  </xdr:twoCellAnchor>
  <xdr:twoCellAnchor>
    <xdr:from>
      <xdr:col>5</xdr:col>
      <xdr:colOff>304800</xdr:colOff>
      <xdr:row>3</xdr:row>
      <xdr:rowOff>95250</xdr:rowOff>
    </xdr:from>
    <xdr:to>
      <xdr:col>5</xdr:col>
      <xdr:colOff>704850</xdr:colOff>
      <xdr:row>3</xdr:row>
      <xdr:rowOff>333375</xdr:rowOff>
    </xdr:to>
    <xdr:sp macro="" textlink="">
      <xdr:nvSpPr>
        <xdr:cNvPr id="3" name="Left-Right Arrow 2">
          <a:extLst>
            <a:ext uri="{FF2B5EF4-FFF2-40B4-BE49-F238E27FC236}">
              <a16:creationId xmlns:a16="http://schemas.microsoft.com/office/drawing/2014/main" id="{00000000-0008-0000-0200-000003000000}"/>
            </a:ext>
          </a:extLst>
        </xdr:cNvPr>
        <xdr:cNvSpPr/>
      </xdr:nvSpPr>
      <xdr:spPr>
        <a:xfrm>
          <a:off x="7410450" y="1428750"/>
          <a:ext cx="400050" cy="2381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304800</xdr:colOff>
      <xdr:row>4</xdr:row>
      <xdr:rowOff>95250</xdr:rowOff>
    </xdr:from>
    <xdr:to>
      <xdr:col>5</xdr:col>
      <xdr:colOff>704850</xdr:colOff>
      <xdr:row>4</xdr:row>
      <xdr:rowOff>333375</xdr:rowOff>
    </xdr:to>
    <xdr:sp macro="" textlink="">
      <xdr:nvSpPr>
        <xdr:cNvPr id="20" name="Left-Right Arrow 19">
          <a:extLst>
            <a:ext uri="{FF2B5EF4-FFF2-40B4-BE49-F238E27FC236}">
              <a16:creationId xmlns:a16="http://schemas.microsoft.com/office/drawing/2014/main" id="{00000000-0008-0000-0200-000014000000}"/>
            </a:ext>
          </a:extLst>
        </xdr:cNvPr>
        <xdr:cNvSpPr/>
      </xdr:nvSpPr>
      <xdr:spPr>
        <a:xfrm>
          <a:off x="7410450" y="1428750"/>
          <a:ext cx="400050" cy="2381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371475</xdr:colOff>
      <xdr:row>6</xdr:row>
      <xdr:rowOff>152401</xdr:rowOff>
    </xdr:from>
    <xdr:to>
      <xdr:col>5</xdr:col>
      <xdr:colOff>628649</xdr:colOff>
      <xdr:row>6</xdr:row>
      <xdr:rowOff>685801</xdr:rowOff>
    </xdr:to>
    <xdr:sp macro="" textlink="">
      <xdr:nvSpPr>
        <xdr:cNvPr id="22" name="Down Arrow 21">
          <a:extLst>
            <a:ext uri="{FF2B5EF4-FFF2-40B4-BE49-F238E27FC236}">
              <a16:creationId xmlns:a16="http://schemas.microsoft.com/office/drawing/2014/main" id="{00000000-0008-0000-0200-000016000000}"/>
            </a:ext>
          </a:extLst>
        </xdr:cNvPr>
        <xdr:cNvSpPr/>
      </xdr:nvSpPr>
      <xdr:spPr>
        <a:xfrm>
          <a:off x="7477125" y="3095626"/>
          <a:ext cx="257174" cy="533400"/>
        </a:xfrm>
        <a:prstGeom prst="downArrow">
          <a:avLst>
            <a:gd name="adj1" fmla="val 50000"/>
            <a:gd name="adj2" fmla="val 47222"/>
          </a:avLst>
        </a:prstGeom>
        <a:solidFill>
          <a:srgbClr val="FF0000"/>
        </a:solidFill>
        <a:ln>
          <a:solidFill>
            <a:srgbClr val="FF0000"/>
          </a:solidFill>
        </a:ln>
        <a:scene3d>
          <a:camera prst="orthographicFront">
            <a:rot lat="10800000" lon="0" rev="0"/>
          </a:camera>
          <a:lightRig rig="threePt"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flatTx/>
        </a:bodyPr>
        <a:lstStyle/>
        <a:p>
          <a:pPr algn="l"/>
          <a:endParaRPr lang="en-GB" sz="1100"/>
        </a:p>
      </xdr:txBody>
    </xdr:sp>
    <xdr:clientData/>
  </xdr:twoCellAnchor>
  <xdr:twoCellAnchor>
    <xdr:from>
      <xdr:col>5</xdr:col>
      <xdr:colOff>371475</xdr:colOff>
      <xdr:row>7</xdr:row>
      <xdr:rowOff>152401</xdr:rowOff>
    </xdr:from>
    <xdr:to>
      <xdr:col>5</xdr:col>
      <xdr:colOff>628649</xdr:colOff>
      <xdr:row>7</xdr:row>
      <xdr:rowOff>609600</xdr:rowOff>
    </xdr:to>
    <xdr:sp macro="" textlink="">
      <xdr:nvSpPr>
        <xdr:cNvPr id="25" name="Down Arrow 24">
          <a:extLst>
            <a:ext uri="{FF2B5EF4-FFF2-40B4-BE49-F238E27FC236}">
              <a16:creationId xmlns:a16="http://schemas.microsoft.com/office/drawing/2014/main" id="{00000000-0008-0000-0200-000019000000}"/>
            </a:ext>
          </a:extLst>
        </xdr:cNvPr>
        <xdr:cNvSpPr/>
      </xdr:nvSpPr>
      <xdr:spPr>
        <a:xfrm>
          <a:off x="7477125" y="4486276"/>
          <a:ext cx="257174" cy="457199"/>
        </a:xfrm>
        <a:prstGeom prst="downArrow">
          <a:avLst>
            <a:gd name="adj1" fmla="val 50000"/>
            <a:gd name="adj2" fmla="val 47222"/>
          </a:avLst>
        </a:prstGeom>
        <a:solidFill>
          <a:srgbClr val="FF0000"/>
        </a:solidFill>
        <a:ln>
          <a:solidFill>
            <a:srgbClr val="FF0000"/>
          </a:solidFill>
        </a:ln>
        <a:scene3d>
          <a:camera prst="orthographicFront">
            <a:rot lat="10800000" lon="0" rev="0"/>
          </a:camera>
          <a:lightRig rig="threePt" dir="t"/>
        </a:scene3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flatTx/>
        </a:bodyPr>
        <a:lstStyle/>
        <a:p>
          <a:pPr algn="l"/>
          <a:endParaRPr lang="en-GB" sz="1100"/>
        </a:p>
      </xdr:txBody>
    </xdr:sp>
    <xdr:clientData/>
  </xdr:twoCellAnchor>
  <xdr:twoCellAnchor>
    <xdr:from>
      <xdr:col>5</xdr:col>
      <xdr:colOff>361950</xdr:colOff>
      <xdr:row>9</xdr:row>
      <xdr:rowOff>133350</xdr:rowOff>
    </xdr:from>
    <xdr:to>
      <xdr:col>5</xdr:col>
      <xdr:colOff>628649</xdr:colOff>
      <xdr:row>9</xdr:row>
      <xdr:rowOff>590549</xdr:rowOff>
    </xdr:to>
    <xdr:sp macro="" textlink="">
      <xdr:nvSpPr>
        <xdr:cNvPr id="26" name="Down Arrow 25">
          <a:extLst>
            <a:ext uri="{FF2B5EF4-FFF2-40B4-BE49-F238E27FC236}">
              <a16:creationId xmlns:a16="http://schemas.microsoft.com/office/drawing/2014/main" id="{00000000-0008-0000-0200-00001A000000}"/>
            </a:ext>
          </a:extLst>
        </xdr:cNvPr>
        <xdr:cNvSpPr/>
      </xdr:nvSpPr>
      <xdr:spPr>
        <a:xfrm>
          <a:off x="7467600" y="6105525"/>
          <a:ext cx="266699" cy="457199"/>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5</xdr:col>
      <xdr:colOff>247650</xdr:colOff>
      <xdr:row>10</xdr:row>
      <xdr:rowOff>247650</xdr:rowOff>
    </xdr:from>
    <xdr:to>
      <xdr:col>5</xdr:col>
      <xdr:colOff>676276</xdr:colOff>
      <xdr:row>10</xdr:row>
      <xdr:rowOff>533400</xdr:rowOff>
    </xdr:to>
    <xdr:sp macro="" textlink="">
      <xdr:nvSpPr>
        <xdr:cNvPr id="27" name="Left-Right Arrow 26">
          <a:extLst>
            <a:ext uri="{FF2B5EF4-FFF2-40B4-BE49-F238E27FC236}">
              <a16:creationId xmlns:a16="http://schemas.microsoft.com/office/drawing/2014/main" id="{00000000-0008-0000-0200-00001B000000}"/>
            </a:ext>
          </a:extLst>
        </xdr:cNvPr>
        <xdr:cNvSpPr/>
      </xdr:nvSpPr>
      <xdr:spPr>
        <a:xfrm>
          <a:off x="7353300" y="6934200"/>
          <a:ext cx="428626" cy="285750"/>
        </a:xfrm>
        <a:prstGeom prst="leftRightArrow">
          <a:avLst>
            <a:gd name="adj1" fmla="val 50000"/>
            <a:gd name="adj2" fmla="val 404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257174</xdr:colOff>
      <xdr:row>3</xdr:row>
      <xdr:rowOff>95251</xdr:rowOff>
    </xdr:from>
    <xdr:to>
      <xdr:col>8</xdr:col>
      <xdr:colOff>704847</xdr:colOff>
      <xdr:row>3</xdr:row>
      <xdr:rowOff>457201</xdr:rowOff>
    </xdr:to>
    <xdr:sp macro="" textlink="">
      <xdr:nvSpPr>
        <xdr:cNvPr id="28" name="Oval 27">
          <a:extLst>
            <a:ext uri="{FF2B5EF4-FFF2-40B4-BE49-F238E27FC236}">
              <a16:creationId xmlns:a16="http://schemas.microsoft.com/office/drawing/2014/main" id="{00000000-0008-0000-0200-00001C000000}"/>
            </a:ext>
          </a:extLst>
        </xdr:cNvPr>
        <xdr:cNvSpPr/>
      </xdr:nvSpPr>
      <xdr:spPr>
        <a:xfrm rot="10800000" flipV="1">
          <a:off x="9401174" y="2000251"/>
          <a:ext cx="447673" cy="36195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vert="horz" tIns="0" rtlCol="0" anchor="t" anchorCtr="1"/>
        <a:lstStyle/>
        <a:p>
          <a:r>
            <a:rPr lang="en-GB">
              <a:solidFill>
                <a:sysClr val="windowText" lastClr="000000"/>
              </a:solidFill>
            </a:rPr>
            <a:t>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workbookViewId="0">
      <selection sqref="A1:XFD1048576"/>
    </sheetView>
  </sheetViews>
  <sheetFormatPr defaultRowHeight="14.5" x14ac:dyDescent="0.35"/>
  <cols>
    <col min="2" max="2" width="29" customWidth="1"/>
    <col min="3" max="3" width="27.54296875" customWidth="1"/>
    <col min="4" max="4" width="11.453125" customWidth="1"/>
    <col min="5" max="5" width="11.1796875" style="7" customWidth="1"/>
    <col min="6" max="6" width="5" style="7" customWidth="1"/>
    <col min="7" max="7" width="10.453125" customWidth="1"/>
    <col min="8" max="8" width="13.26953125" style="7" customWidth="1"/>
    <col min="9" max="9" width="13.26953125" style="7" hidden="1" customWidth="1"/>
    <col min="10" max="10" width="3.81640625" style="7" customWidth="1"/>
    <col min="11" max="11" width="10.81640625" customWidth="1"/>
    <col min="12" max="12" width="3.81640625" customWidth="1"/>
    <col min="13" max="13" width="72.54296875" customWidth="1"/>
  </cols>
  <sheetData>
    <row r="1" spans="1:13" x14ac:dyDescent="0.35">
      <c r="B1" s="2" t="s">
        <v>97</v>
      </c>
      <c r="D1" s="57">
        <v>43579</v>
      </c>
    </row>
    <row r="2" spans="1:13" s="7" customFormat="1" x14ac:dyDescent="0.35">
      <c r="B2" s="2"/>
    </row>
    <row r="3" spans="1:13" x14ac:dyDescent="0.35">
      <c r="B3" s="2" t="s">
        <v>62</v>
      </c>
    </row>
    <row r="4" spans="1:13" x14ac:dyDescent="0.35">
      <c r="A4" s="3"/>
      <c r="B4" s="3"/>
      <c r="C4" s="3"/>
      <c r="D4" s="16" t="s">
        <v>99</v>
      </c>
      <c r="E4" s="16" t="s">
        <v>99</v>
      </c>
      <c r="F4" s="16"/>
      <c r="G4" s="16" t="s">
        <v>55</v>
      </c>
      <c r="H4" s="16" t="s">
        <v>55</v>
      </c>
      <c r="I4" s="16"/>
      <c r="J4" s="3"/>
      <c r="K4" s="3"/>
    </row>
    <row r="5" spans="1:13" s="7" customFormat="1" x14ac:dyDescent="0.35">
      <c r="A5" s="3"/>
      <c r="B5" s="3"/>
      <c r="C5" s="3"/>
      <c r="D5" s="16" t="s">
        <v>112</v>
      </c>
      <c r="E5" s="16" t="s">
        <v>65</v>
      </c>
      <c r="F5" s="16"/>
      <c r="G5" s="16" t="s">
        <v>112</v>
      </c>
      <c r="H5" s="16" t="s">
        <v>65</v>
      </c>
      <c r="I5" s="16"/>
      <c r="J5" s="3"/>
      <c r="K5" s="3"/>
    </row>
    <row r="6" spans="1:13" s="7" customFormat="1" x14ac:dyDescent="0.35">
      <c r="A6" s="3"/>
      <c r="B6" s="3"/>
      <c r="C6" s="3"/>
      <c r="D6" s="17" t="s">
        <v>113</v>
      </c>
      <c r="E6" s="16" t="s">
        <v>66</v>
      </c>
      <c r="F6" s="16"/>
      <c r="G6" s="17" t="s">
        <v>113</v>
      </c>
      <c r="H6" s="16" t="s">
        <v>66</v>
      </c>
      <c r="I6" s="16"/>
      <c r="J6" s="3"/>
      <c r="K6" s="3"/>
    </row>
    <row r="7" spans="1:13" x14ac:dyDescent="0.35">
      <c r="A7" s="3" t="s">
        <v>0</v>
      </c>
      <c r="B7" s="3" t="s">
        <v>3</v>
      </c>
      <c r="C7" s="3" t="s">
        <v>6</v>
      </c>
      <c r="D7" s="16" t="s">
        <v>8</v>
      </c>
      <c r="E7" s="16" t="s">
        <v>64</v>
      </c>
      <c r="F7" s="16"/>
      <c r="G7" s="16" t="s">
        <v>8</v>
      </c>
      <c r="H7" s="16" t="s">
        <v>67</v>
      </c>
      <c r="I7" s="16"/>
      <c r="J7" s="3"/>
      <c r="K7" s="3" t="s">
        <v>54</v>
      </c>
      <c r="M7" s="3" t="s">
        <v>59</v>
      </c>
    </row>
    <row r="8" spans="1:13" x14ac:dyDescent="0.35">
      <c r="A8" s="4" t="str">
        <f>"46030500"</f>
        <v>46030500</v>
      </c>
      <c r="B8" s="4" t="s">
        <v>15</v>
      </c>
      <c r="C8" s="4" t="s">
        <v>18</v>
      </c>
      <c r="D8" s="11">
        <v>0</v>
      </c>
      <c r="E8" s="47">
        <v>0</v>
      </c>
      <c r="F8" s="47"/>
      <c r="G8" s="47">
        <v>33022.54</v>
      </c>
      <c r="H8" s="47">
        <v>33022.54</v>
      </c>
      <c r="I8" s="47">
        <f>H8-G8</f>
        <v>0</v>
      </c>
      <c r="J8" s="9"/>
      <c r="K8" s="54">
        <f>D8-G8</f>
        <v>-33022.54</v>
      </c>
      <c r="L8" s="4"/>
      <c r="M8" s="5" t="s">
        <v>101</v>
      </c>
    </row>
    <row r="9" spans="1:13" x14ac:dyDescent="0.35">
      <c r="A9" s="4" t="str">
        <f>"46030511"</f>
        <v>46030511</v>
      </c>
      <c r="B9" s="4" t="s">
        <v>15</v>
      </c>
      <c r="C9" s="4" t="s">
        <v>19</v>
      </c>
      <c r="D9" s="11">
        <v>17402.240000000002</v>
      </c>
      <c r="E9" s="47">
        <v>17402.240000000002</v>
      </c>
      <c r="F9" s="47"/>
      <c r="G9" s="47">
        <v>31250.400000000001</v>
      </c>
      <c r="H9" s="47">
        <v>31250.400000000001</v>
      </c>
      <c r="I9" s="47">
        <f>H9-G9</f>
        <v>0</v>
      </c>
      <c r="J9" s="9"/>
      <c r="K9" s="54">
        <f>D9-G9</f>
        <v>-13848.16</v>
      </c>
      <c r="L9" s="4"/>
      <c r="M9" s="4" t="s">
        <v>102</v>
      </c>
    </row>
    <row r="10" spans="1:13" x14ac:dyDescent="0.35">
      <c r="D10" s="12"/>
      <c r="E10" s="48"/>
      <c r="F10" s="48"/>
      <c r="G10" s="48"/>
      <c r="H10" s="48"/>
      <c r="I10" s="48"/>
      <c r="K10" s="55"/>
    </row>
    <row r="11" spans="1:13" x14ac:dyDescent="0.35">
      <c r="D11" s="12"/>
      <c r="E11" s="48"/>
      <c r="F11" s="48"/>
      <c r="G11" s="48"/>
      <c r="H11" s="48"/>
      <c r="I11" s="48"/>
      <c r="K11" s="55"/>
    </row>
    <row r="12" spans="1:13" x14ac:dyDescent="0.35">
      <c r="A12" s="4" t="str">
        <f>"88010551"</f>
        <v>88010551</v>
      </c>
      <c r="B12" s="4" t="s">
        <v>20</v>
      </c>
      <c r="C12" s="4" t="s">
        <v>21</v>
      </c>
      <c r="D12" s="11">
        <v>0</v>
      </c>
      <c r="E12" s="47">
        <v>0</v>
      </c>
      <c r="F12" s="47"/>
      <c r="G12" s="47">
        <v>9558.5</v>
      </c>
      <c r="H12" s="47">
        <v>9558.5</v>
      </c>
      <c r="I12" s="47">
        <f t="shared" ref="I12:I27" si="0">H12-G12</f>
        <v>0</v>
      </c>
      <c r="J12" s="9"/>
      <c r="K12" s="54">
        <f t="shared" ref="K12:K31" si="1">D12-G12</f>
        <v>-9558.5</v>
      </c>
      <c r="L12" s="4"/>
      <c r="M12" s="4" t="s">
        <v>100</v>
      </c>
    </row>
    <row r="13" spans="1:13" x14ac:dyDescent="0.35">
      <c r="A13" s="4" t="str">
        <f>"88020551"</f>
        <v>88020551</v>
      </c>
      <c r="B13" s="4" t="s">
        <v>22</v>
      </c>
      <c r="C13" s="4" t="s">
        <v>21</v>
      </c>
      <c r="D13" s="11">
        <v>0</v>
      </c>
      <c r="E13" s="47">
        <v>0</v>
      </c>
      <c r="F13" s="47"/>
      <c r="G13" s="47">
        <v>16686.72</v>
      </c>
      <c r="H13" s="47">
        <v>16686.72</v>
      </c>
      <c r="I13" s="47">
        <f t="shared" si="0"/>
        <v>0</v>
      </c>
      <c r="J13" s="9"/>
      <c r="K13" s="54">
        <f t="shared" si="1"/>
        <v>-16686.72</v>
      </c>
      <c r="L13" s="4"/>
      <c r="M13" s="9" t="s">
        <v>100</v>
      </c>
    </row>
    <row r="14" spans="1:13" x14ac:dyDescent="0.35">
      <c r="A14" s="4" t="str">
        <f>"88030551"</f>
        <v>88030551</v>
      </c>
      <c r="B14" s="4" t="s">
        <v>23</v>
      </c>
      <c r="C14" s="4" t="s">
        <v>21</v>
      </c>
      <c r="D14" s="11">
        <v>0</v>
      </c>
      <c r="E14" s="47">
        <v>0</v>
      </c>
      <c r="F14" s="47"/>
      <c r="G14" s="47">
        <v>21774.400000000001</v>
      </c>
      <c r="H14" s="47">
        <v>21774.400000000001</v>
      </c>
      <c r="I14" s="47">
        <f t="shared" si="0"/>
        <v>0</v>
      </c>
      <c r="J14" s="9"/>
      <c r="K14" s="54">
        <f t="shared" si="1"/>
        <v>-21774.400000000001</v>
      </c>
      <c r="L14" s="4"/>
      <c r="M14" s="9" t="s">
        <v>100</v>
      </c>
    </row>
    <row r="15" spans="1:13" ht="15.75" customHeight="1" x14ac:dyDescent="0.35">
      <c r="A15" s="4" t="str">
        <f>"88050502"</f>
        <v>88050502</v>
      </c>
      <c r="B15" s="4" t="s">
        <v>25</v>
      </c>
      <c r="C15" s="4" t="s">
        <v>26</v>
      </c>
      <c r="D15" s="11">
        <v>0</v>
      </c>
      <c r="E15" s="47">
        <v>0</v>
      </c>
      <c r="F15" s="47"/>
      <c r="G15" s="47">
        <v>52148.51</v>
      </c>
      <c r="H15" s="47">
        <v>52148.51</v>
      </c>
      <c r="I15" s="47">
        <f t="shared" si="0"/>
        <v>0</v>
      </c>
      <c r="J15" s="9"/>
      <c r="K15" s="54">
        <f t="shared" si="1"/>
        <v>-52148.51</v>
      </c>
      <c r="L15" s="4"/>
      <c r="M15" s="9" t="s">
        <v>100</v>
      </c>
    </row>
    <row r="16" spans="1:13" ht="16.5" customHeight="1" x14ac:dyDescent="0.35">
      <c r="A16" s="4" t="str">
        <f>"88050551"</f>
        <v>88050551</v>
      </c>
      <c r="B16" s="4" t="s">
        <v>25</v>
      </c>
      <c r="C16" s="4" t="s">
        <v>21</v>
      </c>
      <c r="D16" s="11">
        <v>0</v>
      </c>
      <c r="E16" s="47">
        <v>0</v>
      </c>
      <c r="F16" s="47"/>
      <c r="G16" s="47">
        <v>30259.54</v>
      </c>
      <c r="H16" s="47">
        <v>30259.54</v>
      </c>
      <c r="I16" s="47">
        <f t="shared" si="0"/>
        <v>0</v>
      </c>
      <c r="J16" s="9"/>
      <c r="K16" s="54">
        <f t="shared" si="1"/>
        <v>-30259.54</v>
      </c>
      <c r="L16" s="4"/>
      <c r="M16" s="9" t="s">
        <v>100</v>
      </c>
    </row>
    <row r="17" spans="1:13" x14ac:dyDescent="0.35">
      <c r="A17" s="4" t="str">
        <f>"88100551"</f>
        <v>88100551</v>
      </c>
      <c r="B17" s="4" t="s">
        <v>27</v>
      </c>
      <c r="C17" s="4" t="s">
        <v>28</v>
      </c>
      <c r="D17" s="11">
        <v>64824.98</v>
      </c>
      <c r="E17" s="47">
        <v>80000</v>
      </c>
      <c r="F17" s="47"/>
      <c r="G17" s="47">
        <v>276364.53999999998</v>
      </c>
      <c r="H17" s="47">
        <v>276364.53999999998</v>
      </c>
      <c r="I17" s="47">
        <f t="shared" si="0"/>
        <v>0</v>
      </c>
      <c r="J17" s="9"/>
      <c r="K17" s="54">
        <f t="shared" si="1"/>
        <v>-211539.55999999997</v>
      </c>
      <c r="L17" s="4"/>
      <c r="M17" s="9" t="s">
        <v>109</v>
      </c>
    </row>
    <row r="18" spans="1:13" ht="15" customHeight="1" x14ac:dyDescent="0.35">
      <c r="A18" s="4" t="str">
        <f>"88160502"</f>
        <v>88160502</v>
      </c>
      <c r="B18" s="4" t="s">
        <v>29</v>
      </c>
      <c r="C18" s="4" t="s">
        <v>30</v>
      </c>
      <c r="D18" s="11">
        <v>8996.4</v>
      </c>
      <c r="E18" s="47">
        <v>9000</v>
      </c>
      <c r="F18" s="47"/>
      <c r="G18" s="47">
        <v>55170.07</v>
      </c>
      <c r="H18" s="47">
        <v>55170.07</v>
      </c>
      <c r="I18" s="47">
        <f t="shared" si="0"/>
        <v>0</v>
      </c>
      <c r="J18" s="9"/>
      <c r="K18" s="54">
        <f t="shared" si="1"/>
        <v>-46173.67</v>
      </c>
      <c r="L18" s="4"/>
      <c r="M18" s="79" t="s">
        <v>103</v>
      </c>
    </row>
    <row r="19" spans="1:13" x14ac:dyDescent="0.35">
      <c r="A19" s="4" t="str">
        <f>"88160551"</f>
        <v>88160551</v>
      </c>
      <c r="B19" s="4" t="s">
        <v>29</v>
      </c>
      <c r="C19" s="4" t="s">
        <v>31</v>
      </c>
      <c r="D19" s="11">
        <v>7716.5</v>
      </c>
      <c r="E19" s="47">
        <v>7720</v>
      </c>
      <c r="F19" s="47"/>
      <c r="G19" s="47">
        <v>57196.11</v>
      </c>
      <c r="H19" s="47">
        <v>57196.11</v>
      </c>
      <c r="I19" s="47">
        <f t="shared" si="0"/>
        <v>0</v>
      </c>
      <c r="J19" s="9"/>
      <c r="K19" s="54">
        <f t="shared" si="1"/>
        <v>-49479.61</v>
      </c>
      <c r="L19" s="4"/>
      <c r="M19" s="79"/>
    </row>
    <row r="20" spans="1:13" x14ac:dyDescent="0.35">
      <c r="A20" s="4" t="str">
        <f>"88250525"</f>
        <v>88250525</v>
      </c>
      <c r="B20" s="4" t="s">
        <v>32</v>
      </c>
      <c r="C20" s="4" t="s">
        <v>33</v>
      </c>
      <c r="D20" s="11">
        <v>19697.400000000001</v>
      </c>
      <c r="E20" s="47">
        <v>20000</v>
      </c>
      <c r="F20" s="47"/>
      <c r="G20" s="47">
        <v>109469.88</v>
      </c>
      <c r="H20" s="47">
        <v>109469.88</v>
      </c>
      <c r="I20" s="47">
        <f t="shared" si="0"/>
        <v>0</v>
      </c>
      <c r="J20" s="9"/>
      <c r="K20" s="54">
        <f t="shared" si="1"/>
        <v>-89772.48000000001</v>
      </c>
      <c r="L20" s="4"/>
      <c r="M20" s="5" t="s">
        <v>104</v>
      </c>
    </row>
    <row r="21" spans="1:13" x14ac:dyDescent="0.35">
      <c r="A21" s="4" t="str">
        <f>"88300523"</f>
        <v>88300523</v>
      </c>
      <c r="B21" s="4" t="s">
        <v>34</v>
      </c>
      <c r="C21" s="4" t="s">
        <v>35</v>
      </c>
      <c r="D21" s="11">
        <v>0</v>
      </c>
      <c r="E21" s="47">
        <v>0</v>
      </c>
      <c r="F21" s="47"/>
      <c r="G21" s="47">
        <v>60078.92</v>
      </c>
      <c r="H21" s="47">
        <v>60078.92</v>
      </c>
      <c r="I21" s="47">
        <f t="shared" si="0"/>
        <v>0</v>
      </c>
      <c r="J21" s="9"/>
      <c r="K21" s="54">
        <f t="shared" si="1"/>
        <v>-60078.92</v>
      </c>
      <c r="L21" s="4"/>
      <c r="M21" s="9" t="s">
        <v>100</v>
      </c>
    </row>
    <row r="22" spans="1:13" x14ac:dyDescent="0.35">
      <c r="A22" s="4" t="str">
        <f>"88360502"</f>
        <v>88360502</v>
      </c>
      <c r="B22" s="4" t="s">
        <v>36</v>
      </c>
      <c r="C22" s="4" t="s">
        <v>37</v>
      </c>
      <c r="D22" s="11">
        <v>0</v>
      </c>
      <c r="E22" s="47">
        <v>0</v>
      </c>
      <c r="F22" s="47"/>
      <c r="G22" s="47">
        <v>4719.5200000000004</v>
      </c>
      <c r="H22" s="47">
        <v>4719.5200000000004</v>
      </c>
      <c r="I22" s="47">
        <f t="shared" si="0"/>
        <v>0</v>
      </c>
      <c r="J22" s="9"/>
      <c r="K22" s="54">
        <f t="shared" si="1"/>
        <v>-4719.5200000000004</v>
      </c>
      <c r="L22" s="4"/>
      <c r="M22" s="9" t="s">
        <v>100</v>
      </c>
    </row>
    <row r="23" spans="1:13" x14ac:dyDescent="0.35">
      <c r="A23" s="4" t="str">
        <f>"88360504"</f>
        <v>88360504</v>
      </c>
      <c r="B23" s="4" t="s">
        <v>36</v>
      </c>
      <c r="C23" s="4" t="s">
        <v>87</v>
      </c>
      <c r="D23" s="11">
        <v>5534.18</v>
      </c>
      <c r="E23" s="47">
        <v>20000</v>
      </c>
      <c r="F23" s="47"/>
      <c r="G23" s="47">
        <v>14097.25</v>
      </c>
      <c r="H23" s="47">
        <v>14097.25</v>
      </c>
      <c r="I23" s="47">
        <f t="shared" si="0"/>
        <v>0</v>
      </c>
      <c r="J23" s="9"/>
      <c r="K23" s="54">
        <f t="shared" si="1"/>
        <v>-8563.07</v>
      </c>
      <c r="L23" s="4"/>
      <c r="M23" s="4" t="s">
        <v>88</v>
      </c>
    </row>
    <row r="24" spans="1:13" s="7" customFormat="1" x14ac:dyDescent="0.35">
      <c r="A24" s="58">
        <v>88440504</v>
      </c>
      <c r="B24" s="9" t="s">
        <v>38</v>
      </c>
      <c r="C24" s="9" t="s">
        <v>31</v>
      </c>
      <c r="D24" s="11">
        <v>40520.61</v>
      </c>
      <c r="E24" s="47">
        <v>40000</v>
      </c>
      <c r="F24" s="47"/>
      <c r="G24" s="47">
        <v>0</v>
      </c>
      <c r="H24" s="47">
        <v>0</v>
      </c>
      <c r="I24" s="47">
        <f t="shared" si="0"/>
        <v>0</v>
      </c>
      <c r="J24" s="9"/>
      <c r="K24" s="54">
        <f t="shared" si="1"/>
        <v>40520.61</v>
      </c>
      <c r="L24" s="9"/>
      <c r="M24" s="9"/>
    </row>
    <row r="25" spans="1:13" x14ac:dyDescent="0.35">
      <c r="A25" s="4" t="str">
        <f>"88440551"</f>
        <v>88440551</v>
      </c>
      <c r="B25" s="4" t="s">
        <v>38</v>
      </c>
      <c r="C25" s="9" t="s">
        <v>31</v>
      </c>
      <c r="D25" s="11">
        <v>87011.72</v>
      </c>
      <c r="E25" s="47">
        <v>70000</v>
      </c>
      <c r="F25" s="47"/>
      <c r="G25" s="47">
        <v>42499.95</v>
      </c>
      <c r="H25" s="47">
        <v>42499.95</v>
      </c>
      <c r="I25" s="47">
        <f t="shared" si="0"/>
        <v>0</v>
      </c>
      <c r="J25" s="9"/>
      <c r="K25" s="54">
        <f t="shared" si="1"/>
        <v>44511.770000000004</v>
      </c>
      <c r="L25" s="4"/>
      <c r="M25" s="4" t="s">
        <v>60</v>
      </c>
    </row>
    <row r="26" spans="1:13" s="7" customFormat="1" x14ac:dyDescent="0.35">
      <c r="A26" s="58">
        <v>88450504</v>
      </c>
      <c r="B26" s="9" t="s">
        <v>39</v>
      </c>
      <c r="C26" s="9" t="s">
        <v>31</v>
      </c>
      <c r="D26" s="11">
        <v>24580.69</v>
      </c>
      <c r="E26" s="47">
        <v>25000</v>
      </c>
      <c r="F26" s="47"/>
      <c r="G26" s="47">
        <v>0</v>
      </c>
      <c r="H26" s="47">
        <v>0</v>
      </c>
      <c r="I26" s="47">
        <f t="shared" si="0"/>
        <v>0</v>
      </c>
      <c r="J26" s="9"/>
      <c r="K26" s="54">
        <f t="shared" si="1"/>
        <v>24580.69</v>
      </c>
      <c r="L26" s="9"/>
      <c r="M26" s="9" t="s">
        <v>105</v>
      </c>
    </row>
    <row r="27" spans="1:13" x14ac:dyDescent="0.35">
      <c r="A27" s="4" t="str">
        <f>"88450506"</f>
        <v>88450506</v>
      </c>
      <c r="B27" s="4" t="s">
        <v>39</v>
      </c>
      <c r="C27" s="4" t="s">
        <v>40</v>
      </c>
      <c r="D27" s="11">
        <v>0</v>
      </c>
      <c r="E27" s="47">
        <v>0</v>
      </c>
      <c r="F27" s="47"/>
      <c r="G27" s="47">
        <v>21193.79</v>
      </c>
      <c r="H27" s="47">
        <v>21193.79</v>
      </c>
      <c r="I27" s="47">
        <f t="shared" si="0"/>
        <v>0</v>
      </c>
      <c r="J27" s="9"/>
      <c r="K27" s="54">
        <f t="shared" si="1"/>
        <v>-21193.79</v>
      </c>
      <c r="L27" s="4"/>
      <c r="M27" s="4" t="s">
        <v>60</v>
      </c>
    </row>
    <row r="28" spans="1:13" s="7" customFormat="1" x14ac:dyDescent="0.35">
      <c r="A28" s="58">
        <v>88650560</v>
      </c>
      <c r="B28" s="9" t="s">
        <v>98</v>
      </c>
      <c r="C28" s="9" t="s">
        <v>40</v>
      </c>
      <c r="D28" s="11">
        <v>12167.5</v>
      </c>
      <c r="E28" s="47">
        <v>20000</v>
      </c>
      <c r="F28" s="47"/>
      <c r="G28" s="47">
        <v>0</v>
      </c>
      <c r="H28" s="47">
        <v>0</v>
      </c>
      <c r="I28" s="47"/>
      <c r="J28" s="9"/>
      <c r="K28" s="54">
        <f t="shared" si="1"/>
        <v>12167.5</v>
      </c>
      <c r="L28" s="9"/>
      <c r="M28" s="9" t="s">
        <v>107</v>
      </c>
    </row>
    <row r="29" spans="1:13" x14ac:dyDescent="0.35">
      <c r="A29" s="4" t="str">
        <f>"88660575"</f>
        <v>88660575</v>
      </c>
      <c r="B29" s="4" t="s">
        <v>41</v>
      </c>
      <c r="C29" s="4" t="s">
        <v>42</v>
      </c>
      <c r="D29" s="11">
        <v>54778.06</v>
      </c>
      <c r="E29" s="47">
        <v>50000</v>
      </c>
      <c r="F29" s="47"/>
      <c r="G29" s="47">
        <v>202269.24</v>
      </c>
      <c r="H29" s="47">
        <v>202269.24</v>
      </c>
      <c r="I29" s="47">
        <f>H29-G29</f>
        <v>0</v>
      </c>
      <c r="J29" s="9"/>
      <c r="K29" s="54">
        <f t="shared" si="1"/>
        <v>-147491.18</v>
      </c>
      <c r="L29" s="4"/>
      <c r="M29" s="8" t="s">
        <v>106</v>
      </c>
    </row>
    <row r="30" spans="1:13" s="7" customFormat="1" x14ac:dyDescent="0.35">
      <c r="A30" s="10"/>
      <c r="B30" s="10"/>
      <c r="C30" s="10"/>
      <c r="D30" s="13"/>
      <c r="E30" s="60"/>
      <c r="F30" s="60"/>
      <c r="G30" s="60"/>
      <c r="H30" s="60"/>
      <c r="I30" s="60"/>
      <c r="J30" s="10"/>
      <c r="K30" s="56"/>
      <c r="L30" s="10"/>
      <c r="M30" s="6"/>
    </row>
    <row r="31" spans="1:13" s="7" customFormat="1" x14ac:dyDescent="0.35">
      <c r="A31" s="9">
        <v>42060504</v>
      </c>
      <c r="B31" s="61" t="s">
        <v>110</v>
      </c>
      <c r="C31" s="9" t="s">
        <v>31</v>
      </c>
      <c r="D31" s="11">
        <v>17383.18</v>
      </c>
      <c r="E31" s="11">
        <v>18000</v>
      </c>
      <c r="F31" s="47"/>
      <c r="G31" s="47"/>
      <c r="H31" s="47"/>
      <c r="I31" s="47"/>
      <c r="J31" s="9"/>
      <c r="K31" s="54">
        <f t="shared" si="1"/>
        <v>17383.18</v>
      </c>
      <c r="L31" s="9"/>
      <c r="M31" s="8" t="s">
        <v>111</v>
      </c>
    </row>
    <row r="32" spans="1:13" s="7" customFormat="1" x14ac:dyDescent="0.35">
      <c r="A32" s="10"/>
      <c r="B32" s="10"/>
      <c r="C32" s="10"/>
      <c r="D32" s="13"/>
      <c r="E32" s="13"/>
      <c r="F32" s="13"/>
      <c r="G32" s="13"/>
      <c r="H32" s="13"/>
      <c r="I32" s="13"/>
      <c r="J32" s="10"/>
      <c r="K32" s="56"/>
      <c r="L32" s="10"/>
      <c r="M32" s="6"/>
    </row>
    <row r="33" spans="2:11" s="1" customFormat="1" ht="15" thickBot="1" x14ac:dyDescent="0.4">
      <c r="B33" s="1" t="s">
        <v>56</v>
      </c>
      <c r="D33" s="14">
        <f>SUM(D8:D31)</f>
        <v>360613.45999999996</v>
      </c>
      <c r="E33" s="14">
        <f>SUM(E8:E31)</f>
        <v>377122.24</v>
      </c>
      <c r="F33" s="15"/>
      <c r="G33" s="14">
        <f>SUM(G8:G31)</f>
        <v>1037759.88</v>
      </c>
      <c r="H33" s="14">
        <f>SUM(H8:H31)</f>
        <v>1037759.88</v>
      </c>
      <c r="I33" s="14">
        <f>SUM(I8:I29)</f>
        <v>0</v>
      </c>
      <c r="K33" s="14">
        <f>SUM(K8:K31)</f>
        <v>-677146.42</v>
      </c>
    </row>
    <row r="34" spans="2:11" ht="15" thickTop="1" x14ac:dyDescent="0.35">
      <c r="D34" s="12"/>
      <c r="E34" s="12"/>
      <c r="F34" s="12"/>
      <c r="G34" s="12"/>
      <c r="H34" s="12"/>
      <c r="I34" s="12"/>
      <c r="K34" s="55"/>
    </row>
  </sheetData>
  <mergeCells count="1">
    <mergeCell ref="M18:M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workbookViewId="0">
      <selection activeCell="C40" sqref="C40"/>
    </sheetView>
  </sheetViews>
  <sheetFormatPr defaultRowHeight="14.5" x14ac:dyDescent="0.35"/>
  <sheetData>
    <row r="1" spans="1:13" x14ac:dyDescent="0.35">
      <c r="A1" t="s">
        <v>0</v>
      </c>
      <c r="B1" t="s">
        <v>1</v>
      </c>
      <c r="C1" t="s">
        <v>2</v>
      </c>
      <c r="D1" t="s">
        <v>3</v>
      </c>
      <c r="E1" t="s">
        <v>4</v>
      </c>
      <c r="F1" t="s">
        <v>5</v>
      </c>
      <c r="G1" t="s">
        <v>6</v>
      </c>
      <c r="H1" t="s">
        <v>7</v>
      </c>
      <c r="I1" t="s">
        <v>8</v>
      </c>
      <c r="J1" t="s">
        <v>9</v>
      </c>
      <c r="K1" t="s">
        <v>10</v>
      </c>
      <c r="L1" t="s">
        <v>11</v>
      </c>
      <c r="M1" t="s">
        <v>12</v>
      </c>
    </row>
    <row r="2" spans="1:13" x14ac:dyDescent="0.35">
      <c r="A2" t="str">
        <f>"46030511"</f>
        <v>46030511</v>
      </c>
      <c r="B2" t="s">
        <v>13</v>
      </c>
      <c r="C2" t="s">
        <v>14</v>
      </c>
      <c r="D2" t="s">
        <v>15</v>
      </c>
      <c r="E2" t="s">
        <v>16</v>
      </c>
      <c r="F2" t="s">
        <v>17</v>
      </c>
      <c r="G2" t="s">
        <v>19</v>
      </c>
      <c r="I2">
        <v>8396.24</v>
      </c>
      <c r="J2">
        <v>0</v>
      </c>
      <c r="K2">
        <v>-8396.24</v>
      </c>
      <c r="L2">
        <v>0</v>
      </c>
    </row>
    <row r="3" spans="1:13" x14ac:dyDescent="0.35">
      <c r="A3" t="str">
        <f>"46170513"</f>
        <v>46170513</v>
      </c>
      <c r="B3" t="s">
        <v>13</v>
      </c>
      <c r="C3" t="s">
        <v>14</v>
      </c>
      <c r="D3" t="s">
        <v>43</v>
      </c>
      <c r="E3" t="s">
        <v>16</v>
      </c>
      <c r="F3" t="s">
        <v>17</v>
      </c>
      <c r="G3" t="s">
        <v>44</v>
      </c>
      <c r="I3">
        <v>5783.03</v>
      </c>
      <c r="J3">
        <v>0</v>
      </c>
      <c r="K3">
        <v>-5783.03</v>
      </c>
      <c r="L3">
        <v>0</v>
      </c>
    </row>
    <row r="4" spans="1:13" x14ac:dyDescent="0.35">
      <c r="A4" t="str">
        <f>"88010551"</f>
        <v>88010551</v>
      </c>
      <c r="B4" t="s">
        <v>13</v>
      </c>
      <c r="C4" t="s">
        <v>14</v>
      </c>
      <c r="D4" t="s">
        <v>20</v>
      </c>
      <c r="E4" t="s">
        <v>16</v>
      </c>
      <c r="F4" t="s">
        <v>17</v>
      </c>
      <c r="G4" t="s">
        <v>21</v>
      </c>
      <c r="I4">
        <v>6901.82</v>
      </c>
      <c r="J4">
        <v>0</v>
      </c>
      <c r="K4">
        <v>-6901.82</v>
      </c>
      <c r="L4">
        <v>0</v>
      </c>
    </row>
    <row r="5" spans="1:13" x14ac:dyDescent="0.35">
      <c r="A5" t="str">
        <f>"88020503"</f>
        <v>88020503</v>
      </c>
      <c r="B5" t="s">
        <v>13</v>
      </c>
      <c r="C5" t="s">
        <v>14</v>
      </c>
      <c r="D5" t="s">
        <v>22</v>
      </c>
      <c r="E5" t="s">
        <v>16</v>
      </c>
      <c r="F5" t="s">
        <v>17</v>
      </c>
      <c r="G5" t="s">
        <v>45</v>
      </c>
      <c r="I5">
        <v>1174.3900000000001</v>
      </c>
      <c r="J5">
        <v>0</v>
      </c>
      <c r="K5">
        <v>-1174.3900000000001</v>
      </c>
      <c r="L5">
        <v>0</v>
      </c>
    </row>
    <row r="6" spans="1:13" x14ac:dyDescent="0.35">
      <c r="A6" t="str">
        <f>"88020551"</f>
        <v>88020551</v>
      </c>
      <c r="B6" t="s">
        <v>13</v>
      </c>
      <c r="C6" t="s">
        <v>14</v>
      </c>
      <c r="D6" t="s">
        <v>22</v>
      </c>
      <c r="E6" t="s">
        <v>16</v>
      </c>
      <c r="F6" t="s">
        <v>17</v>
      </c>
      <c r="G6" t="s">
        <v>21</v>
      </c>
      <c r="I6">
        <v>10396.540000000001</v>
      </c>
      <c r="J6">
        <v>0</v>
      </c>
      <c r="K6">
        <v>-10396.540000000001</v>
      </c>
      <c r="L6">
        <v>0</v>
      </c>
    </row>
    <row r="7" spans="1:13" x14ac:dyDescent="0.35">
      <c r="A7" t="str">
        <f>"88030551"</f>
        <v>88030551</v>
      </c>
      <c r="B7" t="s">
        <v>13</v>
      </c>
      <c r="C7" t="s">
        <v>14</v>
      </c>
      <c r="D7" t="s">
        <v>23</v>
      </c>
      <c r="E7" t="s">
        <v>16</v>
      </c>
      <c r="F7" t="s">
        <v>17</v>
      </c>
      <c r="G7" t="s">
        <v>21</v>
      </c>
      <c r="I7">
        <v>11532.44</v>
      </c>
      <c r="J7">
        <v>0</v>
      </c>
      <c r="K7">
        <v>-11532.44</v>
      </c>
      <c r="L7">
        <v>0</v>
      </c>
    </row>
    <row r="8" spans="1:13" x14ac:dyDescent="0.35">
      <c r="A8" t="str">
        <f>"88040551"</f>
        <v>88040551</v>
      </c>
      <c r="B8" t="s">
        <v>13</v>
      </c>
      <c r="C8" t="s">
        <v>14</v>
      </c>
      <c r="D8" t="s">
        <v>24</v>
      </c>
      <c r="E8" t="s">
        <v>16</v>
      </c>
      <c r="F8" t="s">
        <v>17</v>
      </c>
      <c r="G8" t="s">
        <v>21</v>
      </c>
      <c r="I8">
        <v>1510.48</v>
      </c>
      <c r="J8">
        <v>0</v>
      </c>
      <c r="K8">
        <v>-1510.48</v>
      </c>
      <c r="L8">
        <v>0</v>
      </c>
    </row>
    <row r="9" spans="1:13" x14ac:dyDescent="0.35">
      <c r="A9" t="str">
        <f>"88050551"</f>
        <v>88050551</v>
      </c>
      <c r="B9" t="s">
        <v>13</v>
      </c>
      <c r="C9" t="s">
        <v>14</v>
      </c>
      <c r="D9" t="s">
        <v>25</v>
      </c>
      <c r="E9" t="s">
        <v>16</v>
      </c>
      <c r="F9" t="s">
        <v>17</v>
      </c>
      <c r="G9" t="s">
        <v>21</v>
      </c>
      <c r="I9">
        <v>24210.04</v>
      </c>
      <c r="J9">
        <v>16000</v>
      </c>
      <c r="K9">
        <v>-8210.0400000000009</v>
      </c>
      <c r="L9">
        <v>0</v>
      </c>
      <c r="M9">
        <v>151</v>
      </c>
    </row>
    <row r="10" spans="1:13" x14ac:dyDescent="0.35">
      <c r="A10" t="str">
        <f>"88060550"</f>
        <v>88060550</v>
      </c>
      <c r="B10" t="s">
        <v>13</v>
      </c>
      <c r="C10" t="s">
        <v>14</v>
      </c>
      <c r="D10" t="s">
        <v>46</v>
      </c>
      <c r="E10" t="s">
        <v>16</v>
      </c>
      <c r="F10" t="s">
        <v>17</v>
      </c>
      <c r="G10" t="s">
        <v>47</v>
      </c>
      <c r="I10">
        <v>20548.060000000001</v>
      </c>
      <c r="J10">
        <v>0</v>
      </c>
      <c r="K10">
        <v>-20548.060000000001</v>
      </c>
      <c r="L10">
        <v>0</v>
      </c>
    </row>
    <row r="11" spans="1:13" x14ac:dyDescent="0.35">
      <c r="A11" t="str">
        <f>"88060551"</f>
        <v>88060551</v>
      </c>
      <c r="B11" t="s">
        <v>13</v>
      </c>
      <c r="C11" t="s">
        <v>14</v>
      </c>
      <c r="D11" t="s">
        <v>46</v>
      </c>
      <c r="E11" t="s">
        <v>16</v>
      </c>
      <c r="F11" t="s">
        <v>17</v>
      </c>
      <c r="G11" t="s">
        <v>48</v>
      </c>
      <c r="I11">
        <v>3267.36</v>
      </c>
      <c r="J11">
        <v>0</v>
      </c>
      <c r="K11">
        <v>-3267.36</v>
      </c>
      <c r="L11">
        <v>0</v>
      </c>
    </row>
    <row r="12" spans="1:13" x14ac:dyDescent="0.35">
      <c r="A12" t="str">
        <f>"88100551"</f>
        <v>88100551</v>
      </c>
      <c r="B12" t="s">
        <v>13</v>
      </c>
      <c r="C12" t="s">
        <v>14</v>
      </c>
      <c r="D12" t="s">
        <v>27</v>
      </c>
      <c r="E12" t="s">
        <v>16</v>
      </c>
      <c r="F12" t="s">
        <v>17</v>
      </c>
      <c r="G12" t="s">
        <v>28</v>
      </c>
      <c r="I12">
        <v>99156.66</v>
      </c>
      <c r="J12">
        <v>18870</v>
      </c>
      <c r="K12">
        <v>-80286.66</v>
      </c>
      <c r="L12">
        <v>0</v>
      </c>
      <c r="M12">
        <v>525</v>
      </c>
    </row>
    <row r="13" spans="1:13" x14ac:dyDescent="0.35">
      <c r="A13" t="str">
        <f>"88160502"</f>
        <v>88160502</v>
      </c>
      <c r="B13" t="s">
        <v>13</v>
      </c>
      <c r="C13" t="s">
        <v>14</v>
      </c>
      <c r="D13" t="s">
        <v>29</v>
      </c>
      <c r="E13" t="s">
        <v>16</v>
      </c>
      <c r="F13" t="s">
        <v>17</v>
      </c>
      <c r="G13" t="s">
        <v>30</v>
      </c>
      <c r="I13">
        <v>0</v>
      </c>
      <c r="J13">
        <v>28680</v>
      </c>
      <c r="K13">
        <v>28680</v>
      </c>
      <c r="L13">
        <v>0</v>
      </c>
      <c r="M13">
        <v>0</v>
      </c>
    </row>
    <row r="14" spans="1:13" x14ac:dyDescent="0.35">
      <c r="A14" t="str">
        <f>"88360551"</f>
        <v>88360551</v>
      </c>
      <c r="B14" t="s">
        <v>13</v>
      </c>
      <c r="C14" t="s">
        <v>14</v>
      </c>
      <c r="D14" t="s">
        <v>36</v>
      </c>
      <c r="E14" t="s">
        <v>16</v>
      </c>
      <c r="F14" t="s">
        <v>17</v>
      </c>
      <c r="G14" t="s">
        <v>49</v>
      </c>
      <c r="I14">
        <v>15035.52</v>
      </c>
      <c r="J14">
        <v>0</v>
      </c>
      <c r="K14">
        <v>-15035.52</v>
      </c>
      <c r="L14">
        <v>0</v>
      </c>
    </row>
    <row r="15" spans="1:13" x14ac:dyDescent="0.35">
      <c r="A15" t="str">
        <f>"88360560"</f>
        <v>88360560</v>
      </c>
      <c r="B15" t="s">
        <v>13</v>
      </c>
      <c r="C15" t="s">
        <v>14</v>
      </c>
      <c r="D15" t="s">
        <v>36</v>
      </c>
      <c r="E15" t="s">
        <v>16</v>
      </c>
      <c r="F15" t="s">
        <v>17</v>
      </c>
      <c r="G15" t="s">
        <v>50</v>
      </c>
      <c r="I15">
        <v>5946.52</v>
      </c>
      <c r="J15">
        <v>0</v>
      </c>
      <c r="K15">
        <v>-5946.52</v>
      </c>
      <c r="L15">
        <v>0</v>
      </c>
    </row>
    <row r="16" spans="1:13" x14ac:dyDescent="0.35">
      <c r="A16" t="str">
        <f>"88430551"</f>
        <v>88430551</v>
      </c>
      <c r="B16" t="s">
        <v>13</v>
      </c>
      <c r="C16" t="s">
        <v>14</v>
      </c>
      <c r="D16" t="s">
        <v>51</v>
      </c>
      <c r="E16" t="s">
        <v>16</v>
      </c>
      <c r="F16" t="s">
        <v>17</v>
      </c>
      <c r="G16" t="s">
        <v>52</v>
      </c>
      <c r="I16">
        <v>0</v>
      </c>
      <c r="J16">
        <v>47280</v>
      </c>
      <c r="K16">
        <v>47280</v>
      </c>
      <c r="L16">
        <v>0</v>
      </c>
      <c r="M16">
        <v>0</v>
      </c>
    </row>
    <row r="17" spans="1:13" x14ac:dyDescent="0.35">
      <c r="A17" t="str">
        <f>"88430560"</f>
        <v>88430560</v>
      </c>
      <c r="B17" t="s">
        <v>13</v>
      </c>
      <c r="C17" t="s">
        <v>14</v>
      </c>
      <c r="D17" t="s">
        <v>51</v>
      </c>
      <c r="E17" t="s">
        <v>16</v>
      </c>
      <c r="F17" t="s">
        <v>17</v>
      </c>
      <c r="G17" t="s">
        <v>50</v>
      </c>
      <c r="I17">
        <v>2724.33</v>
      </c>
      <c r="J17">
        <v>0</v>
      </c>
      <c r="K17">
        <v>-2724.33</v>
      </c>
      <c r="L17">
        <v>0</v>
      </c>
    </row>
    <row r="18" spans="1:13" x14ac:dyDescent="0.35">
      <c r="A18" t="str">
        <f>"88450503"</f>
        <v>88450503</v>
      </c>
      <c r="B18" t="s">
        <v>13</v>
      </c>
      <c r="C18" t="s">
        <v>14</v>
      </c>
      <c r="D18" t="s">
        <v>39</v>
      </c>
      <c r="E18" t="s">
        <v>16</v>
      </c>
      <c r="F18" t="s">
        <v>17</v>
      </c>
      <c r="G18" t="s">
        <v>53</v>
      </c>
      <c r="I18">
        <v>14587.44</v>
      </c>
      <c r="J18">
        <v>0</v>
      </c>
      <c r="K18">
        <v>-14587.44</v>
      </c>
      <c r="L18">
        <v>0</v>
      </c>
    </row>
    <row r="19" spans="1:13" x14ac:dyDescent="0.35">
      <c r="A19" t="str">
        <f>"88660575"</f>
        <v>88660575</v>
      </c>
      <c r="B19" t="s">
        <v>13</v>
      </c>
      <c r="C19" t="s">
        <v>14</v>
      </c>
      <c r="D19" t="s">
        <v>41</v>
      </c>
      <c r="E19" t="s">
        <v>16</v>
      </c>
      <c r="F19" t="s">
        <v>17</v>
      </c>
      <c r="G19" t="s">
        <v>42</v>
      </c>
      <c r="I19">
        <v>45862.41</v>
      </c>
      <c r="J19">
        <v>146300</v>
      </c>
      <c r="K19">
        <v>100437.59</v>
      </c>
      <c r="L19">
        <v>0</v>
      </c>
      <c r="M19">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
  <sheetViews>
    <sheetView topLeftCell="A4" workbookViewId="0">
      <selection activeCell="B4" sqref="B4:B12"/>
    </sheetView>
  </sheetViews>
  <sheetFormatPr defaultColWidth="9.1796875" defaultRowHeight="14.5" x14ac:dyDescent="0.35"/>
  <cols>
    <col min="1" max="1" width="28.54296875" style="7" customWidth="1"/>
    <col min="2" max="2" width="12.81640625" style="7" customWidth="1"/>
    <col min="3" max="3" width="13.1796875" style="7" customWidth="1"/>
    <col min="4" max="4" width="12.7265625" style="7" hidden="1" customWidth="1"/>
    <col min="5" max="5" width="64.81640625" style="7" customWidth="1"/>
    <col min="6" max="6" width="14.1796875" style="39" customWidth="1"/>
    <col min="7" max="7" width="12.54296875" style="7" customWidth="1"/>
    <col min="8" max="8" width="3.81640625" style="10" customWidth="1"/>
    <col min="9" max="9" width="15.1796875" style="7" customWidth="1"/>
    <col min="10" max="16384" width="9.1796875" style="7"/>
  </cols>
  <sheetData>
    <row r="1" spans="1:9" x14ac:dyDescent="0.35">
      <c r="A1" s="80" t="s">
        <v>68</v>
      </c>
      <c r="B1" s="80"/>
      <c r="C1" s="80"/>
      <c r="D1" s="80"/>
      <c r="E1" s="80"/>
      <c r="F1" s="80"/>
      <c r="G1" s="80"/>
      <c r="H1" s="18"/>
    </row>
    <row r="3" spans="1:9" ht="72.5" x14ac:dyDescent="0.35">
      <c r="A3" s="19" t="s">
        <v>6</v>
      </c>
      <c r="B3" s="19" t="s">
        <v>96</v>
      </c>
      <c r="C3" s="20" t="s">
        <v>69</v>
      </c>
      <c r="D3" s="19" t="s">
        <v>70</v>
      </c>
      <c r="E3" s="20" t="s">
        <v>71</v>
      </c>
      <c r="F3" s="20" t="s">
        <v>89</v>
      </c>
      <c r="G3" s="21" t="s">
        <v>72</v>
      </c>
      <c r="H3" s="22"/>
      <c r="I3" s="23" t="s">
        <v>73</v>
      </c>
    </row>
    <row r="4" spans="1:9" ht="43.5" x14ac:dyDescent="0.35">
      <c r="A4" s="24" t="s">
        <v>74</v>
      </c>
      <c r="B4" s="27">
        <f>'Agency Costs'!D17/1000</f>
        <v>64.824979999999996</v>
      </c>
      <c r="C4" s="46">
        <v>270</v>
      </c>
      <c r="D4" s="25">
        <f>C4/$C$12</f>
        <v>0.26011560693641617</v>
      </c>
      <c r="E4" s="50" t="s">
        <v>95</v>
      </c>
      <c r="F4" s="26"/>
      <c r="G4" s="27">
        <v>292</v>
      </c>
      <c r="H4" s="28"/>
      <c r="I4" s="31"/>
    </row>
    <row r="5" spans="1:9" ht="43.5" customHeight="1" x14ac:dyDescent="0.35">
      <c r="A5" s="24" t="s">
        <v>75</v>
      </c>
      <c r="B5" s="27">
        <f>'Agency Costs'!D29/1000</f>
        <v>54.778059999999996</v>
      </c>
      <c r="C5" s="46">
        <v>200</v>
      </c>
      <c r="D5" s="25">
        <f t="shared" ref="D5:D11" si="0">C5/$C$12</f>
        <v>0.19267822736030829</v>
      </c>
      <c r="E5" s="8" t="s">
        <v>90</v>
      </c>
      <c r="F5" s="26"/>
      <c r="G5" s="27">
        <v>206</v>
      </c>
      <c r="H5" s="30"/>
      <c r="I5" s="31"/>
    </row>
    <row r="6" spans="1:9" ht="53.25" customHeight="1" x14ac:dyDescent="0.35">
      <c r="A6" s="8" t="s">
        <v>76</v>
      </c>
      <c r="B6" s="53" t="e">
        <f>('Agency Costs'!D27+'Agency Costs'!D25+'Agency Costs'!#REF!+'Agency Costs'!D14+'Agency Costs'!D13+'Agency Costs'!#REF!+'Agency Costs'!D12)/1000</f>
        <v>#REF!</v>
      </c>
      <c r="C6" s="46">
        <v>114</v>
      </c>
      <c r="D6" s="25">
        <f t="shared" si="0"/>
        <v>0.10982658959537572</v>
      </c>
      <c r="E6" s="8" t="s">
        <v>91</v>
      </c>
      <c r="F6" s="26"/>
      <c r="G6" s="27">
        <v>233</v>
      </c>
      <c r="H6" s="28"/>
      <c r="I6" s="29"/>
    </row>
    <row r="7" spans="1:9" ht="109.5" customHeight="1" x14ac:dyDescent="0.35">
      <c r="A7" s="8" t="s">
        <v>77</v>
      </c>
      <c r="B7" s="53">
        <f>('Agency Costs'!D15+'Agency Costs'!D16+'Agency Costs'!D18+'Agency Costs'!D19)/1000</f>
        <v>16.712900000000001</v>
      </c>
      <c r="C7" s="46">
        <v>202</v>
      </c>
      <c r="D7" s="25">
        <f t="shared" si="0"/>
        <v>0.19460500963391136</v>
      </c>
      <c r="E7" s="8" t="s">
        <v>92</v>
      </c>
      <c r="F7" s="24"/>
      <c r="G7" s="27">
        <v>154</v>
      </c>
      <c r="H7" s="28"/>
      <c r="I7" s="29"/>
    </row>
    <row r="8" spans="1:9" ht="54" customHeight="1" x14ac:dyDescent="0.35">
      <c r="A8" s="24" t="s">
        <v>78</v>
      </c>
      <c r="B8" s="27">
        <f>('Agency Costs'!D22+'Agency Costs'!D23)/1000</f>
        <v>5.5341800000000001</v>
      </c>
      <c r="C8" s="46">
        <v>15</v>
      </c>
      <c r="D8" s="25">
        <f t="shared" si="0"/>
        <v>1.4450867052023121E-2</v>
      </c>
      <c r="E8" s="8" t="s">
        <v>93</v>
      </c>
      <c r="F8" s="24"/>
      <c r="G8" s="27">
        <v>96</v>
      </c>
      <c r="H8" s="30"/>
      <c r="I8" s="31"/>
    </row>
    <row r="9" spans="1:9" ht="58" x14ac:dyDescent="0.35">
      <c r="A9" s="8" t="s">
        <v>79</v>
      </c>
      <c r="B9" s="53">
        <f>('Agency Costs'!D8+'Agency Costs'!D9)/1000</f>
        <v>17.402240000000003</v>
      </c>
      <c r="C9" s="46">
        <v>67</v>
      </c>
      <c r="D9" s="25">
        <f t="shared" si="0"/>
        <v>6.454720616570328E-2</v>
      </c>
      <c r="E9" s="8" t="s">
        <v>94</v>
      </c>
      <c r="F9" s="26"/>
      <c r="G9" s="27">
        <v>151</v>
      </c>
      <c r="H9" s="30"/>
      <c r="I9" s="29"/>
    </row>
    <row r="10" spans="1:9" ht="56.25" customHeight="1" x14ac:dyDescent="0.35">
      <c r="A10" s="8" t="s">
        <v>80</v>
      </c>
      <c r="B10" s="53">
        <f>'Agency Costs'!D21/1000</f>
        <v>0</v>
      </c>
      <c r="C10" s="46">
        <v>60</v>
      </c>
      <c r="D10" s="25">
        <f t="shared" si="0"/>
        <v>5.7803468208092484E-2</v>
      </c>
      <c r="E10" s="8" t="s">
        <v>81</v>
      </c>
      <c r="F10" s="26"/>
      <c r="G10" s="27">
        <v>15</v>
      </c>
      <c r="H10" s="30"/>
      <c r="I10" s="31"/>
    </row>
    <row r="11" spans="1:9" ht="70.5" customHeight="1" x14ac:dyDescent="0.35">
      <c r="A11" s="8" t="s">
        <v>82</v>
      </c>
      <c r="B11" s="53">
        <f>'Agency Costs'!D20/1000</f>
        <v>19.697400000000002</v>
      </c>
      <c r="C11" s="46">
        <v>110</v>
      </c>
      <c r="D11" s="25">
        <f t="shared" si="0"/>
        <v>0.10597302504816955</v>
      </c>
      <c r="E11" s="8" t="s">
        <v>86</v>
      </c>
      <c r="F11" s="49"/>
      <c r="G11" s="27">
        <v>9</v>
      </c>
      <c r="H11" s="30"/>
      <c r="I11" s="29"/>
    </row>
    <row r="12" spans="1:9" x14ac:dyDescent="0.35">
      <c r="A12" s="32" t="s">
        <v>83</v>
      </c>
      <c r="B12" s="52" t="e">
        <f>SUM(B4:B11)</f>
        <v>#REF!</v>
      </c>
      <c r="C12" s="33">
        <f>SUM(C4:C11)</f>
        <v>1038</v>
      </c>
      <c r="D12" s="34"/>
      <c r="E12" s="9"/>
      <c r="F12" s="26"/>
      <c r="G12" s="33">
        <f>SUM(G4:G11)</f>
        <v>1156</v>
      </c>
      <c r="H12" s="35"/>
      <c r="I12" s="9"/>
    </row>
    <row r="14" spans="1:9" x14ac:dyDescent="0.35">
      <c r="A14" s="36" t="s">
        <v>84</v>
      </c>
      <c r="B14" s="51"/>
      <c r="C14" s="37"/>
      <c r="D14" s="37"/>
      <c r="E14" s="38"/>
    </row>
    <row r="15" spans="1:9" x14ac:dyDescent="0.35">
      <c r="A15" s="40" t="s">
        <v>85</v>
      </c>
      <c r="B15" s="41"/>
      <c r="C15" s="41"/>
      <c r="D15" s="41"/>
      <c r="E15" s="42"/>
    </row>
    <row r="16" spans="1:9" x14ac:dyDescent="0.35">
      <c r="A16" s="43"/>
      <c r="B16" s="44"/>
      <c r="C16" s="44"/>
      <c r="D16" s="44"/>
      <c r="E16" s="45"/>
    </row>
  </sheetData>
  <mergeCells count="1">
    <mergeCell ref="A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
  <sheetViews>
    <sheetView workbookViewId="0">
      <selection activeCell="B2" sqref="B2"/>
    </sheetView>
  </sheetViews>
  <sheetFormatPr defaultColWidth="9.1796875" defaultRowHeight="14.5" x14ac:dyDescent="0.35"/>
  <cols>
    <col min="1" max="1" width="9.1796875" style="7"/>
    <col min="2" max="2" width="24.7265625" style="7" customWidth="1"/>
    <col min="3" max="3" width="35.1796875" style="7" customWidth="1"/>
    <col min="4" max="16384" width="9.1796875" style="7"/>
  </cols>
  <sheetData>
    <row r="1" spans="1:10" x14ac:dyDescent="0.35">
      <c r="B1" s="2" t="s">
        <v>108</v>
      </c>
    </row>
    <row r="2" spans="1:10" x14ac:dyDescent="0.35">
      <c r="B2" s="2"/>
    </row>
    <row r="3" spans="1:10" x14ac:dyDescent="0.35">
      <c r="B3" s="2" t="s">
        <v>63</v>
      </c>
    </row>
    <row r="4" spans="1:10" x14ac:dyDescent="0.35">
      <c r="A4" s="3"/>
      <c r="B4" s="3"/>
      <c r="C4" s="3"/>
      <c r="D4" s="1" t="s">
        <v>99</v>
      </c>
      <c r="E4" s="3"/>
      <c r="F4" s="3" t="s">
        <v>55</v>
      </c>
      <c r="G4" s="3"/>
      <c r="H4" s="3"/>
    </row>
    <row r="5" spans="1:10" x14ac:dyDescent="0.35">
      <c r="A5" s="3" t="s">
        <v>0</v>
      </c>
      <c r="B5" s="3" t="s">
        <v>3</v>
      </c>
      <c r="C5" s="3" t="s">
        <v>6</v>
      </c>
      <c r="D5" s="59" t="s">
        <v>8</v>
      </c>
      <c r="E5" s="3"/>
      <c r="F5" s="3" t="s">
        <v>8</v>
      </c>
      <c r="G5" s="3"/>
      <c r="H5" s="3" t="s">
        <v>54</v>
      </c>
      <c r="J5" s="3" t="s">
        <v>59</v>
      </c>
    </row>
    <row r="6" spans="1:10" x14ac:dyDescent="0.35">
      <c r="A6" s="7" t="str">
        <f>"887L4432"</f>
        <v>887L4432</v>
      </c>
      <c r="B6" s="7" t="s">
        <v>61</v>
      </c>
      <c r="C6" s="7" t="s">
        <v>58</v>
      </c>
      <c r="D6" s="7">
        <v>0</v>
      </c>
      <c r="F6" s="7">
        <v>15553.29</v>
      </c>
      <c r="H6" s="7">
        <f>D6-F6</f>
        <v>-15553.29</v>
      </c>
      <c r="J6" s="7" t="s">
        <v>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2"/>
  <sheetViews>
    <sheetView tabSelected="1" zoomScaleNormal="100" workbookViewId="0">
      <selection activeCell="C32" sqref="C32"/>
    </sheetView>
  </sheetViews>
  <sheetFormatPr defaultColWidth="9.1796875" defaultRowHeight="14.5" x14ac:dyDescent="0.35"/>
  <cols>
    <col min="1" max="1" width="30.54296875" style="7" customWidth="1"/>
    <col min="2" max="2" width="40" style="7" bestFit="1" customWidth="1"/>
    <col min="3" max="3" width="52.453125" style="7" bestFit="1" customWidth="1"/>
    <col min="4" max="4" width="9" style="68" customWidth="1"/>
    <col min="5" max="5" width="3" style="68" customWidth="1"/>
    <col min="6" max="6" width="9.7265625" style="68" customWidth="1"/>
    <col min="7" max="7" width="5.08984375" style="68" customWidth="1"/>
    <col min="8" max="8" width="8.1796875" style="12" customWidth="1"/>
    <col min="9" max="9" width="4.26953125" style="68" customWidth="1"/>
    <col min="10" max="10" width="7.81640625" style="12" bestFit="1" customWidth="1"/>
    <col min="11" max="11" width="5" style="68" customWidth="1"/>
    <col min="12" max="12" width="7.81640625" style="7" bestFit="1" customWidth="1"/>
    <col min="13" max="13" width="5" style="7" customWidth="1"/>
    <col min="14" max="14" width="7.81640625" style="7" bestFit="1" customWidth="1"/>
    <col min="15" max="15" width="13.26953125" style="7" hidden="1" customWidth="1"/>
    <col min="16" max="16" width="3.81640625" style="7" customWidth="1"/>
    <col min="17" max="17" width="7.81640625" style="7" bestFit="1" customWidth="1"/>
    <col min="18" max="16384" width="9.1796875" style="7"/>
  </cols>
  <sheetData>
    <row r="1" spans="1:17" x14ac:dyDescent="0.35">
      <c r="A1" s="2" t="s">
        <v>146</v>
      </c>
      <c r="L1" s="57"/>
    </row>
    <row r="2" spans="1:17" x14ac:dyDescent="0.35">
      <c r="B2" s="2"/>
    </row>
    <row r="3" spans="1:17" x14ac:dyDescent="0.35">
      <c r="A3" s="3" t="s">
        <v>0</v>
      </c>
      <c r="B3" s="3" t="s">
        <v>3</v>
      </c>
      <c r="C3" s="3" t="s">
        <v>6</v>
      </c>
      <c r="D3" s="3" t="s">
        <v>145</v>
      </c>
      <c r="E3" s="3"/>
      <c r="F3" s="16" t="s">
        <v>139</v>
      </c>
      <c r="G3" s="3"/>
      <c r="H3" s="74" t="s">
        <v>134</v>
      </c>
      <c r="I3" s="3"/>
      <c r="J3" s="74" t="s">
        <v>133</v>
      </c>
      <c r="K3" s="3"/>
      <c r="L3" s="16" t="s">
        <v>99</v>
      </c>
      <c r="M3" s="16"/>
      <c r="N3" s="16" t="s">
        <v>55</v>
      </c>
      <c r="O3" s="16"/>
      <c r="P3" s="3"/>
      <c r="Q3" s="16" t="s">
        <v>114</v>
      </c>
    </row>
    <row r="4" spans="1:17" s="68" customFormat="1" x14ac:dyDescent="0.35">
      <c r="A4" s="58">
        <v>60000509</v>
      </c>
      <c r="B4" s="70" t="s">
        <v>131</v>
      </c>
      <c r="C4" s="70" t="s">
        <v>132</v>
      </c>
      <c r="D4" s="78">
        <v>180402.09</v>
      </c>
      <c r="E4" s="78"/>
      <c r="F4" s="71">
        <v>8450</v>
      </c>
      <c r="G4" s="70"/>
      <c r="H4" s="71">
        <v>0</v>
      </c>
      <c r="I4" s="70"/>
      <c r="J4" s="71">
        <v>85444</v>
      </c>
      <c r="K4" s="70"/>
      <c r="L4" s="71">
        <v>0</v>
      </c>
      <c r="M4" s="69"/>
      <c r="N4" s="69">
        <v>0</v>
      </c>
      <c r="O4" s="69"/>
      <c r="P4" s="70"/>
      <c r="Q4" s="71">
        <v>0</v>
      </c>
    </row>
    <row r="5" spans="1:17" x14ac:dyDescent="0.35">
      <c r="A5" s="9" t="s">
        <v>117</v>
      </c>
      <c r="B5" s="9" t="s">
        <v>122</v>
      </c>
      <c r="C5" s="70" t="s">
        <v>50</v>
      </c>
      <c r="D5" s="78"/>
      <c r="E5" s="78"/>
      <c r="F5" s="71"/>
      <c r="G5" s="70"/>
      <c r="H5" s="71">
        <v>0</v>
      </c>
      <c r="I5" s="70"/>
      <c r="J5" s="71">
        <v>0</v>
      </c>
      <c r="K5" s="70"/>
      <c r="L5" s="71">
        <v>0</v>
      </c>
      <c r="M5" s="47"/>
      <c r="N5" s="47">
        <v>45774.96</v>
      </c>
      <c r="O5" s="47"/>
      <c r="P5" s="9"/>
      <c r="Q5" s="71">
        <v>48307.519999999997</v>
      </c>
    </row>
    <row r="6" spans="1:17" s="68" customFormat="1" x14ac:dyDescent="0.35">
      <c r="A6" s="77">
        <v>60180560</v>
      </c>
      <c r="B6" s="70" t="s">
        <v>135</v>
      </c>
      <c r="C6" s="70" t="s">
        <v>136</v>
      </c>
      <c r="D6" s="78">
        <v>240519.8</v>
      </c>
      <c r="E6" s="78"/>
      <c r="F6" s="71">
        <v>41944.74</v>
      </c>
      <c r="G6" s="70"/>
      <c r="H6" s="71">
        <v>151882</v>
      </c>
      <c r="I6" s="70"/>
      <c r="J6" s="71">
        <v>0</v>
      </c>
      <c r="K6" s="70"/>
      <c r="L6" s="71">
        <v>0</v>
      </c>
      <c r="M6" s="69"/>
      <c r="N6" s="69">
        <v>0</v>
      </c>
      <c r="O6" s="69"/>
      <c r="P6" s="70"/>
      <c r="Q6" s="71">
        <v>0</v>
      </c>
    </row>
    <row r="7" spans="1:17" s="68" customFormat="1" x14ac:dyDescent="0.35">
      <c r="A7" s="77">
        <v>60620500</v>
      </c>
      <c r="B7" s="70" t="s">
        <v>147</v>
      </c>
      <c r="C7" s="61" t="s">
        <v>148</v>
      </c>
      <c r="D7" s="78">
        <v>26497.29</v>
      </c>
      <c r="E7" s="78"/>
      <c r="F7" s="71"/>
      <c r="G7" s="70"/>
      <c r="H7" s="71"/>
      <c r="I7" s="70"/>
      <c r="J7" s="71"/>
      <c r="K7" s="70"/>
      <c r="L7" s="71"/>
      <c r="M7" s="69"/>
      <c r="N7" s="69"/>
      <c r="O7" s="69"/>
      <c r="P7" s="70"/>
      <c r="Q7" s="71"/>
    </row>
    <row r="8" spans="1:17" s="68" customFormat="1" x14ac:dyDescent="0.35">
      <c r="A8" s="76" t="s">
        <v>137</v>
      </c>
      <c r="B8" s="70" t="s">
        <v>138</v>
      </c>
      <c r="C8" s="70" t="s">
        <v>149</v>
      </c>
      <c r="D8" s="78">
        <v>148645</v>
      </c>
      <c r="E8" s="78"/>
      <c r="F8" s="71">
        <v>97682</v>
      </c>
      <c r="G8" s="70"/>
      <c r="H8" s="71">
        <v>52060</v>
      </c>
      <c r="I8" s="70"/>
      <c r="J8" s="71">
        <v>0</v>
      </c>
      <c r="K8" s="70"/>
      <c r="L8" s="71">
        <v>0</v>
      </c>
      <c r="M8" s="69"/>
      <c r="N8" s="69">
        <v>0</v>
      </c>
      <c r="O8" s="69"/>
      <c r="P8" s="70"/>
      <c r="Q8" s="71">
        <v>0</v>
      </c>
    </row>
    <row r="9" spans="1:17" x14ac:dyDescent="0.35">
      <c r="A9" s="9"/>
      <c r="B9" s="9"/>
      <c r="C9" s="70"/>
      <c r="D9" s="78"/>
      <c r="E9" s="78"/>
      <c r="F9" s="71"/>
      <c r="G9" s="70"/>
      <c r="H9" s="71"/>
      <c r="I9" s="70"/>
      <c r="J9" s="71"/>
      <c r="K9" s="70"/>
      <c r="L9" s="11"/>
      <c r="M9" s="47"/>
      <c r="N9" s="47"/>
      <c r="O9" s="47"/>
      <c r="P9" s="9"/>
      <c r="Q9" s="67"/>
    </row>
    <row r="10" spans="1:17" s="68" customFormat="1" x14ac:dyDescent="0.35">
      <c r="A10" s="58">
        <v>72000513</v>
      </c>
      <c r="B10" s="70" t="s">
        <v>126</v>
      </c>
      <c r="C10" s="70" t="s">
        <v>129</v>
      </c>
      <c r="D10" s="78"/>
      <c r="E10" s="78"/>
      <c r="F10" s="71">
        <v>60765.94</v>
      </c>
      <c r="G10" s="70"/>
      <c r="H10" s="71">
        <v>83008</v>
      </c>
      <c r="I10" s="70"/>
      <c r="J10" s="71">
        <v>95609</v>
      </c>
      <c r="K10" s="70"/>
      <c r="L10" s="71">
        <v>25649.49</v>
      </c>
      <c r="M10" s="69"/>
      <c r="N10" s="69">
        <v>0</v>
      </c>
      <c r="O10" s="69"/>
      <c r="P10" s="70"/>
      <c r="Q10" s="71">
        <v>0</v>
      </c>
    </row>
    <row r="11" spans="1:17" s="68" customFormat="1" x14ac:dyDescent="0.35">
      <c r="A11" s="58">
        <v>72300504</v>
      </c>
      <c r="B11" s="70" t="s">
        <v>124</v>
      </c>
      <c r="C11" s="70" t="s">
        <v>21</v>
      </c>
      <c r="D11" s="78"/>
      <c r="E11" s="78"/>
      <c r="F11" s="71"/>
      <c r="G11" s="70"/>
      <c r="H11" s="71">
        <v>0</v>
      </c>
      <c r="I11" s="70"/>
      <c r="J11" s="71">
        <v>0</v>
      </c>
      <c r="K11" s="70"/>
      <c r="L11" s="71">
        <v>123493.16</v>
      </c>
      <c r="M11" s="69"/>
      <c r="N11" s="65">
        <v>105188.96</v>
      </c>
      <c r="O11" s="69"/>
      <c r="P11" s="70"/>
      <c r="Q11" s="71">
        <v>0</v>
      </c>
    </row>
    <row r="12" spans="1:17" x14ac:dyDescent="0.35">
      <c r="A12" s="58">
        <v>72310504</v>
      </c>
      <c r="B12" s="63" t="s">
        <v>118</v>
      </c>
      <c r="C12" s="70" t="s">
        <v>21</v>
      </c>
      <c r="D12" s="78"/>
      <c r="E12" s="78"/>
      <c r="F12" s="71"/>
      <c r="G12" s="70"/>
      <c r="H12" s="71">
        <v>0</v>
      </c>
      <c r="I12" s="70"/>
      <c r="J12" s="71">
        <v>0</v>
      </c>
      <c r="K12" s="70"/>
      <c r="L12" s="64">
        <v>8837.74</v>
      </c>
      <c r="M12" s="65"/>
      <c r="N12" s="69">
        <v>70662.350000000006</v>
      </c>
      <c r="O12" s="65"/>
      <c r="P12" s="63"/>
      <c r="Q12" s="67">
        <v>26470.2</v>
      </c>
    </row>
    <row r="13" spans="1:17" x14ac:dyDescent="0.35">
      <c r="A13" s="58" t="s">
        <v>150</v>
      </c>
      <c r="B13" s="70" t="s">
        <v>119</v>
      </c>
      <c r="C13" s="70" t="s">
        <v>21</v>
      </c>
      <c r="D13" s="78">
        <v>151878.54999999999</v>
      </c>
      <c r="E13" s="78"/>
      <c r="F13" s="71">
        <f>172903.13+47909.48</f>
        <v>220812.61000000002</v>
      </c>
      <c r="G13" s="70"/>
      <c r="H13" s="71">
        <f>105448+11076</f>
        <v>116524</v>
      </c>
      <c r="I13" s="70"/>
      <c r="J13" s="71">
        <v>208472</v>
      </c>
      <c r="K13" s="70"/>
      <c r="L13" s="64">
        <v>1289.07</v>
      </c>
      <c r="M13" s="65"/>
      <c r="N13" s="69">
        <v>92554.27</v>
      </c>
      <c r="O13" s="65"/>
      <c r="P13" s="63"/>
      <c r="Q13" s="67">
        <v>626.48</v>
      </c>
    </row>
    <row r="14" spans="1:17" s="68" customFormat="1" x14ac:dyDescent="0.35">
      <c r="A14" s="58">
        <v>72320511</v>
      </c>
      <c r="B14" s="70" t="s">
        <v>119</v>
      </c>
      <c r="C14" s="70" t="s">
        <v>123</v>
      </c>
      <c r="D14" s="78"/>
      <c r="E14" s="78"/>
      <c r="F14" s="71"/>
      <c r="G14" s="70"/>
      <c r="H14" s="71">
        <v>0</v>
      </c>
      <c r="I14" s="70"/>
      <c r="J14" s="71">
        <v>0</v>
      </c>
      <c r="K14" s="70"/>
      <c r="L14" s="71">
        <v>0</v>
      </c>
      <c r="M14" s="69"/>
      <c r="N14" s="69">
        <v>5635.8</v>
      </c>
      <c r="O14" s="69"/>
      <c r="P14" s="70"/>
      <c r="Q14" s="71">
        <v>0</v>
      </c>
    </row>
    <row r="15" spans="1:17" x14ac:dyDescent="0.35">
      <c r="A15" s="58">
        <v>72400504</v>
      </c>
      <c r="B15" s="63" t="s">
        <v>120</v>
      </c>
      <c r="C15" s="70" t="s">
        <v>21</v>
      </c>
      <c r="D15" s="78"/>
      <c r="E15" s="78"/>
      <c r="F15" s="71"/>
      <c r="G15" s="70"/>
      <c r="H15" s="71">
        <v>0</v>
      </c>
      <c r="I15" s="70"/>
      <c r="J15" s="71">
        <v>0</v>
      </c>
      <c r="K15" s="70"/>
      <c r="L15" s="64">
        <v>0</v>
      </c>
      <c r="M15" s="65"/>
      <c r="N15" s="69">
        <v>0</v>
      </c>
      <c r="O15" s="65"/>
      <c r="P15" s="63"/>
      <c r="Q15" s="67">
        <v>6356.4</v>
      </c>
    </row>
    <row r="16" spans="1:17" x14ac:dyDescent="0.35">
      <c r="A16" s="58">
        <v>72420504</v>
      </c>
      <c r="B16" s="63" t="s">
        <v>121</v>
      </c>
      <c r="C16" s="70" t="s">
        <v>21</v>
      </c>
      <c r="D16" s="78">
        <v>106446.68</v>
      </c>
      <c r="E16" s="78"/>
      <c r="F16" s="71">
        <v>95144.19</v>
      </c>
      <c r="G16" s="70"/>
      <c r="H16" s="71">
        <v>62670</v>
      </c>
      <c r="I16" s="70"/>
      <c r="J16" s="71">
        <v>38207</v>
      </c>
      <c r="K16" s="70"/>
      <c r="L16" s="64">
        <v>8221</v>
      </c>
      <c r="M16" s="65"/>
      <c r="N16" s="69">
        <v>21293.29</v>
      </c>
      <c r="O16" s="65"/>
      <c r="P16" s="63"/>
      <c r="Q16" s="67">
        <v>22848.39</v>
      </c>
    </row>
    <row r="17" spans="1:17" s="68" customFormat="1" x14ac:dyDescent="0.35">
      <c r="A17" s="58">
        <v>72420504</v>
      </c>
      <c r="B17" s="70" t="s">
        <v>121</v>
      </c>
      <c r="C17" s="70" t="s">
        <v>115</v>
      </c>
      <c r="D17" s="78"/>
      <c r="E17" s="78"/>
      <c r="F17" s="71"/>
      <c r="G17" s="70"/>
      <c r="H17" s="71">
        <v>0</v>
      </c>
      <c r="I17" s="70"/>
      <c r="J17" s="71">
        <v>0</v>
      </c>
      <c r="K17" s="70"/>
      <c r="L17" s="71">
        <v>0</v>
      </c>
      <c r="M17" s="69"/>
      <c r="N17" s="69">
        <v>0</v>
      </c>
      <c r="O17" s="69"/>
      <c r="P17" s="70"/>
      <c r="Q17" s="71">
        <v>29757.200000000001</v>
      </c>
    </row>
    <row r="18" spans="1:17" s="68" customFormat="1" x14ac:dyDescent="0.35">
      <c r="A18" s="58">
        <v>72420584</v>
      </c>
      <c r="B18" s="70" t="s">
        <v>121</v>
      </c>
      <c r="C18" s="70" t="s">
        <v>127</v>
      </c>
      <c r="D18" s="78">
        <v>60872.04</v>
      </c>
      <c r="E18" s="78"/>
      <c r="F18" s="71">
        <v>35538.42</v>
      </c>
      <c r="G18" s="70"/>
      <c r="H18" s="71"/>
      <c r="I18" s="70"/>
      <c r="J18" s="71"/>
      <c r="K18" s="70"/>
      <c r="L18" s="71"/>
      <c r="M18" s="69"/>
      <c r="N18" s="69"/>
      <c r="O18" s="69"/>
      <c r="P18" s="70"/>
      <c r="Q18" s="71"/>
    </row>
    <row r="19" spans="1:17" s="68" customFormat="1" x14ac:dyDescent="0.35">
      <c r="A19" s="58">
        <v>72530582</v>
      </c>
      <c r="B19" s="70" t="s">
        <v>140</v>
      </c>
      <c r="C19" s="70" t="s">
        <v>141</v>
      </c>
      <c r="D19" s="78"/>
      <c r="E19" s="78"/>
      <c r="F19" s="71">
        <v>8831.81</v>
      </c>
      <c r="G19" s="70"/>
      <c r="H19" s="71"/>
      <c r="I19" s="70"/>
      <c r="J19" s="71"/>
      <c r="K19" s="70"/>
      <c r="L19" s="71"/>
      <c r="M19" s="69"/>
      <c r="N19" s="69"/>
      <c r="O19" s="69"/>
      <c r="P19" s="70"/>
      <c r="Q19" s="71"/>
    </row>
    <row r="20" spans="1:17" s="68" customFormat="1" x14ac:dyDescent="0.35">
      <c r="A20" s="58" t="s">
        <v>151</v>
      </c>
      <c r="B20" s="70" t="s">
        <v>140</v>
      </c>
      <c r="C20" s="70" t="s">
        <v>115</v>
      </c>
      <c r="D20" s="78">
        <v>13022.67</v>
      </c>
      <c r="E20" s="78"/>
      <c r="F20" s="71">
        <v>56266.71</v>
      </c>
      <c r="G20" s="70"/>
      <c r="H20" s="71"/>
      <c r="I20" s="70"/>
      <c r="J20" s="71"/>
      <c r="K20" s="70"/>
      <c r="L20" s="71"/>
      <c r="M20" s="69"/>
      <c r="N20" s="69"/>
      <c r="O20" s="69"/>
      <c r="P20" s="70"/>
      <c r="Q20" s="71"/>
    </row>
    <row r="21" spans="1:17" s="68" customFormat="1" x14ac:dyDescent="0.35">
      <c r="A21" s="58">
        <v>72540560</v>
      </c>
      <c r="B21" s="70" t="s">
        <v>140</v>
      </c>
      <c r="C21" s="70" t="s">
        <v>50</v>
      </c>
      <c r="D21" s="78">
        <v>8313.77</v>
      </c>
      <c r="E21" s="78"/>
      <c r="F21" s="71"/>
      <c r="G21" s="70"/>
      <c r="H21" s="71"/>
      <c r="I21" s="70"/>
      <c r="J21" s="71"/>
      <c r="K21" s="70"/>
      <c r="L21" s="71"/>
      <c r="M21" s="69"/>
      <c r="N21" s="69"/>
      <c r="O21" s="69"/>
      <c r="P21" s="70"/>
      <c r="Q21" s="71"/>
    </row>
    <row r="22" spans="1:17" x14ac:dyDescent="0.35">
      <c r="A22" s="58" t="s">
        <v>142</v>
      </c>
      <c r="B22" s="9" t="s">
        <v>144</v>
      </c>
      <c r="C22" s="70" t="s">
        <v>21</v>
      </c>
      <c r="D22" s="78">
        <v>531149.68000000005</v>
      </c>
      <c r="E22" s="78"/>
      <c r="F22" s="71">
        <f>317035.2+43039.41</f>
        <v>360074.61</v>
      </c>
      <c r="G22" s="70"/>
      <c r="H22" s="71">
        <v>183002</v>
      </c>
      <c r="I22" s="70"/>
      <c r="J22" s="71">
        <v>403481</v>
      </c>
      <c r="K22" s="70"/>
      <c r="L22" s="11">
        <v>181663.15</v>
      </c>
      <c r="M22" s="47"/>
      <c r="N22" s="69">
        <v>18351.25</v>
      </c>
      <c r="O22" s="47"/>
      <c r="P22" s="9"/>
      <c r="Q22" s="71">
        <v>28067.16</v>
      </c>
    </row>
    <row r="23" spans="1:17" s="68" customFormat="1" x14ac:dyDescent="0.35">
      <c r="A23" s="58" t="s">
        <v>143</v>
      </c>
      <c r="B23" s="70" t="s">
        <v>144</v>
      </c>
      <c r="C23" s="70" t="s">
        <v>127</v>
      </c>
      <c r="D23" s="78">
        <v>101079.6</v>
      </c>
      <c r="E23" s="78"/>
      <c r="F23" s="71">
        <v>15727.68</v>
      </c>
      <c r="G23" s="70"/>
      <c r="H23" s="71">
        <v>0</v>
      </c>
      <c r="I23" s="70"/>
      <c r="J23" s="71">
        <v>49016</v>
      </c>
      <c r="K23" s="70"/>
      <c r="L23" s="71">
        <v>25301.24</v>
      </c>
      <c r="M23" s="69"/>
      <c r="N23" s="69">
        <v>0</v>
      </c>
      <c r="O23" s="69"/>
      <c r="P23" s="70"/>
      <c r="Q23" s="71">
        <v>0</v>
      </c>
    </row>
    <row r="24" spans="1:17" s="62" customFormat="1" x14ac:dyDescent="0.35">
      <c r="A24" s="58">
        <v>72630560</v>
      </c>
      <c r="B24" s="66" t="s">
        <v>153</v>
      </c>
      <c r="C24" s="70" t="s">
        <v>50</v>
      </c>
      <c r="E24" s="68"/>
      <c r="F24" s="71"/>
      <c r="G24" s="70"/>
      <c r="H24" s="71">
        <v>0</v>
      </c>
      <c r="I24" s="70"/>
      <c r="J24" s="71">
        <v>0</v>
      </c>
      <c r="K24" s="70"/>
      <c r="L24" s="64">
        <v>0</v>
      </c>
      <c r="M24" s="65"/>
      <c r="N24" s="69">
        <v>0</v>
      </c>
      <c r="O24" s="65"/>
      <c r="P24" s="63"/>
      <c r="Q24" s="71">
        <v>1219.83</v>
      </c>
    </row>
    <row r="25" spans="1:17" s="68" customFormat="1" x14ac:dyDescent="0.35">
      <c r="A25" s="58">
        <v>72630560</v>
      </c>
      <c r="B25" s="70" t="s">
        <v>152</v>
      </c>
      <c r="C25" s="70" t="s">
        <v>50</v>
      </c>
      <c r="D25" s="78">
        <v>4453.04</v>
      </c>
      <c r="E25" s="78"/>
      <c r="F25" s="71"/>
      <c r="G25" s="70"/>
      <c r="H25" s="71"/>
      <c r="I25" s="70"/>
      <c r="J25" s="71"/>
      <c r="K25" s="70"/>
      <c r="L25" s="71"/>
      <c r="M25" s="69"/>
      <c r="N25" s="69"/>
      <c r="O25" s="69"/>
      <c r="P25" s="70"/>
      <c r="Q25" s="71"/>
    </row>
    <row r="26" spans="1:17" x14ac:dyDescent="0.35">
      <c r="A26" s="58">
        <v>72770560</v>
      </c>
      <c r="B26" s="9" t="s">
        <v>125</v>
      </c>
      <c r="C26" s="70" t="s">
        <v>50</v>
      </c>
      <c r="D26" s="78"/>
      <c r="E26" s="78"/>
      <c r="F26" s="71"/>
      <c r="G26" s="70"/>
      <c r="H26" s="71">
        <v>0</v>
      </c>
      <c r="I26" s="70"/>
      <c r="J26" s="71">
        <v>0</v>
      </c>
      <c r="K26" s="70"/>
      <c r="L26" s="11">
        <v>0</v>
      </c>
      <c r="M26" s="47"/>
      <c r="N26" s="47">
        <v>24678.58</v>
      </c>
      <c r="O26" s="47"/>
      <c r="P26" s="9"/>
      <c r="Q26" s="71">
        <v>0</v>
      </c>
    </row>
    <row r="27" spans="1:17" x14ac:dyDescent="0.35">
      <c r="A27" s="58">
        <v>72770594</v>
      </c>
      <c r="B27" s="70" t="s">
        <v>125</v>
      </c>
      <c r="C27" s="70" t="s">
        <v>128</v>
      </c>
      <c r="D27" s="78"/>
      <c r="E27" s="78"/>
      <c r="F27" s="71"/>
      <c r="G27" s="70"/>
      <c r="H27" s="71">
        <v>0</v>
      </c>
      <c r="I27" s="70"/>
      <c r="J27" s="71">
        <v>6025</v>
      </c>
      <c r="K27" s="70"/>
      <c r="L27" s="11">
        <v>46639.88</v>
      </c>
      <c r="M27" s="47"/>
      <c r="N27" s="47">
        <v>0</v>
      </c>
      <c r="O27" s="47"/>
      <c r="P27" s="9"/>
      <c r="Q27" s="71">
        <v>0</v>
      </c>
    </row>
    <row r="28" spans="1:17" x14ac:dyDescent="0.35">
      <c r="A28" s="9"/>
      <c r="B28" s="61"/>
      <c r="C28" s="9"/>
      <c r="D28" s="70"/>
      <c r="E28" s="70"/>
      <c r="F28" s="71"/>
      <c r="G28" s="70"/>
      <c r="H28" s="71"/>
      <c r="I28" s="70"/>
      <c r="J28" s="71"/>
      <c r="K28" s="70"/>
      <c r="L28" s="11"/>
      <c r="M28" s="47"/>
      <c r="N28" s="47"/>
      <c r="O28" s="47"/>
      <c r="P28" s="9"/>
      <c r="Q28" s="54"/>
    </row>
    <row r="29" spans="1:17" x14ac:dyDescent="0.35">
      <c r="A29" s="10"/>
      <c r="B29" s="10"/>
      <c r="C29" s="10"/>
      <c r="D29" s="10"/>
      <c r="E29" s="10"/>
      <c r="F29" s="71"/>
      <c r="G29" s="10"/>
      <c r="H29" s="13"/>
      <c r="I29" s="10"/>
      <c r="J29" s="13"/>
      <c r="K29" s="10"/>
      <c r="L29" s="13"/>
      <c r="M29" s="13"/>
      <c r="N29" s="13"/>
      <c r="O29" s="13"/>
      <c r="P29" s="10"/>
      <c r="Q29" s="56"/>
    </row>
    <row r="30" spans="1:17" s="1" customFormat="1" ht="15" thickBot="1" x14ac:dyDescent="0.4">
      <c r="B30" s="1" t="s">
        <v>116</v>
      </c>
      <c r="C30" s="73" t="s">
        <v>130</v>
      </c>
      <c r="D30" s="72">
        <f>SUM(D4:D28)</f>
        <v>1573280.2100000002</v>
      </c>
      <c r="E30" s="73"/>
      <c r="F30" s="72">
        <f>SUM(F4:F28)</f>
        <v>1001238.7100000001</v>
      </c>
      <c r="G30" s="73"/>
      <c r="H30" s="72">
        <f>SUM(H4:H28)</f>
        <v>649146</v>
      </c>
      <c r="I30" s="72"/>
      <c r="J30" s="72">
        <f>SUM(J4:J28)</f>
        <v>886254</v>
      </c>
      <c r="K30" s="72"/>
      <c r="L30" s="72">
        <f t="shared" ref="L30:Q30" si="0">SUM(L4:L28)</f>
        <v>421094.73</v>
      </c>
      <c r="M30" s="72"/>
      <c r="N30" s="72">
        <f t="shared" si="0"/>
        <v>384139.46</v>
      </c>
      <c r="O30" s="72">
        <f t="shared" si="0"/>
        <v>0</v>
      </c>
      <c r="P30" s="72"/>
      <c r="Q30" s="72">
        <f t="shared" si="0"/>
        <v>163653.18</v>
      </c>
    </row>
    <row r="31" spans="1:17" ht="15" thickTop="1" x14ac:dyDescent="0.35">
      <c r="L31" s="12"/>
      <c r="M31" s="12"/>
      <c r="N31" s="12"/>
      <c r="O31" s="12"/>
      <c r="Q31" s="55"/>
    </row>
    <row r="32" spans="1:17" x14ac:dyDescent="0.35">
      <c r="A32" s="75" t="s">
        <v>154</v>
      </c>
    </row>
  </sheetData>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Agency Costs</vt:lpstr>
      <vt:lpstr>201617 Fig</vt:lpstr>
      <vt:lpstr>Agency RAG</vt:lpstr>
      <vt:lpstr>Consultants</vt:lpstr>
      <vt:lpstr>CMBC CYP Agency spend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Sharp</dc:creator>
  <cp:lastModifiedBy>xs18</cp:lastModifiedBy>
  <dcterms:created xsi:type="dcterms:W3CDTF">2017-07-31T08:50:46Z</dcterms:created>
  <dcterms:modified xsi:type="dcterms:W3CDTF">2023-06-20T08:58:52Z</dcterms:modified>
</cp:coreProperties>
</file>